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495"/>
  </bookViews>
  <sheets>
    <sheet name="儋州市退役军人合格人员名单" sheetId="1" r:id="rId1"/>
  </sheets>
  <definedNames>
    <definedName name="_xlnm._FilterDatabase" localSheetId="0" hidden="1">儋州市退役军人合格人员名单!$A$1:$H$1607</definedName>
  </definedNames>
  <calcPr calcId="144525"/>
</workbook>
</file>

<file path=xl/sharedStrings.xml><?xml version="1.0" encoding="utf-8"?>
<sst xmlns="http://schemas.openxmlformats.org/spreadsheetml/2006/main" count="3219" uniqueCount="47">
  <si>
    <t>儋州市2019年面向社会公开招聘市退役军人服务中心及各镇退役军人服务站工作人员资格初审合格名单</t>
  </si>
  <si>
    <t>序号</t>
  </si>
  <si>
    <t>报考号</t>
  </si>
  <si>
    <t>报考单位</t>
  </si>
  <si>
    <t>报考岗位</t>
  </si>
  <si>
    <t>姓名</t>
  </si>
  <si>
    <t>性别</t>
  </si>
  <si>
    <t>出生年月日</t>
  </si>
  <si>
    <t>毕业学校</t>
  </si>
  <si>
    <t>市退役军人服务中心</t>
  </si>
  <si>
    <t>0101_综合管理岗</t>
  </si>
  <si>
    <t>那大镇社会事务服务中心（退役军人服务站）</t>
  </si>
  <si>
    <t>0201_综合管理岗</t>
  </si>
  <si>
    <t>0202_专业技术岗</t>
  </si>
  <si>
    <t>大成镇社会事务服务中心(退役军人服务站)</t>
  </si>
  <si>
    <t>0302_政策法规岗</t>
  </si>
  <si>
    <t>雅星镇社会事务服务中心（退役军人服务站）</t>
  </si>
  <si>
    <t>0401_信息技术岗</t>
  </si>
  <si>
    <t>0402_综合管理岗</t>
  </si>
  <si>
    <t>白马井镇社会事务服务中心（退役军人服务站）</t>
  </si>
  <si>
    <t>0501_综合管理岗</t>
  </si>
  <si>
    <t>0502_专业技术岗</t>
  </si>
  <si>
    <t>和庆镇社会事务服务中心（退役军人服务站）</t>
  </si>
  <si>
    <t>0601_综合管理岗</t>
  </si>
  <si>
    <t>0602_专业技术岗</t>
  </si>
  <si>
    <t>兰洋镇社会事务服务中心（退役军人服务站）</t>
  </si>
  <si>
    <t>0701_信息技术岗</t>
  </si>
  <si>
    <t>南丰镇社会事务服务中心（退役军人服务站）</t>
  </si>
  <si>
    <t>0801_工作人员</t>
  </si>
  <si>
    <t>排浦镇社会事务服务中心（退役军人服务站）</t>
  </si>
  <si>
    <t>0901_专业技术岗</t>
  </si>
  <si>
    <t>新州镇社会事务服务中心（退役军人服务站）</t>
  </si>
  <si>
    <t>1001_综合管理岗</t>
  </si>
  <si>
    <t>王五镇社会事务服务中心（退役军人服务站）</t>
  </si>
  <si>
    <t>1101_工作人员</t>
  </si>
  <si>
    <t>中和镇社会事务服务中心（退役军人服务站）</t>
  </si>
  <si>
    <t>1201_工作人员</t>
  </si>
  <si>
    <t>海头镇社会事务服务中心（退役军人服务站）</t>
  </si>
  <si>
    <t>1301_工作人员</t>
  </si>
  <si>
    <t>峨蔓镇社会事务服务中心（退役军人服务站）</t>
  </si>
  <si>
    <t>1401_工作人员</t>
  </si>
  <si>
    <t>光村镇社会事务服务中心（退役军人服务站）</t>
  </si>
  <si>
    <t>1501_工作人员</t>
  </si>
  <si>
    <t>东成镇社会事务服务中心（退役军人服务站）</t>
  </si>
  <si>
    <t>1601_工作人员</t>
  </si>
  <si>
    <t>木棠镇社会事务服务中心（退役军人服务站）</t>
  </si>
  <si>
    <t>1701_工作人员</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</si>
</sst>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1">
    <font>
      <sz val="11"/>
      <color indexed="8"/>
      <name val="宋体"/>
      <charset val="134"/>
    </font>
    <font>
      <b/>
      <sz val="11"/>
      <color indexed="8"/>
      <name val="宋体"/>
      <charset val="134"/>
    </font>
    <font>
      <b/>
      <sz val="16"/>
      <color indexed="8"/>
      <name val="宋体"/>
      <charset val="134"/>
    </font>
    <font>
      <sz val="11"/>
      <color indexed="9"/>
      <name val="宋体"/>
      <charset val="0"/>
    </font>
    <font>
      <sz val="11"/>
      <color indexed="8"/>
      <name val="宋体"/>
      <charset val="0"/>
    </font>
    <font>
      <b/>
      <sz val="11"/>
      <color indexed="9"/>
      <name val="宋体"/>
      <charset val="0"/>
    </font>
    <font>
      <sz val="11"/>
      <color indexed="60"/>
      <name val="宋体"/>
      <charset val="0"/>
    </font>
    <font>
      <b/>
      <sz val="11"/>
      <color indexed="8"/>
      <name val="宋体"/>
      <charset val="0"/>
    </font>
    <font>
      <b/>
      <sz val="11"/>
      <color indexed="63"/>
      <name val="宋体"/>
      <charset val="0"/>
    </font>
    <font>
      <b/>
      <sz val="18"/>
      <color indexed="62"/>
      <name val="宋体"/>
      <charset val="134"/>
    </font>
    <font>
      <b/>
      <sz val="11"/>
      <color indexed="62"/>
      <name val="宋体"/>
      <charset val="134"/>
    </font>
    <font>
      <sz val="11"/>
      <color indexed="62"/>
      <name val="宋体"/>
      <charset val="0"/>
    </font>
    <font>
      <u/>
      <sz val="11"/>
      <color indexed="12"/>
      <name val="宋体"/>
      <charset val="0"/>
    </font>
    <font>
      <u/>
      <sz val="11"/>
      <color indexed="20"/>
      <name val="宋体"/>
      <charset val="0"/>
    </font>
    <font>
      <b/>
      <sz val="11"/>
      <color indexed="52"/>
      <name val="宋体"/>
      <charset val="0"/>
    </font>
    <font>
      <b/>
      <sz val="13"/>
      <color indexed="62"/>
      <name val="宋体"/>
      <charset val="134"/>
    </font>
    <font>
      <sz val="11"/>
      <color indexed="10"/>
      <name val="宋体"/>
      <charset val="0"/>
    </font>
    <font>
      <sz val="11"/>
      <color indexed="17"/>
      <name val="宋体"/>
      <charset val="0"/>
    </font>
    <font>
      <i/>
      <sz val="11"/>
      <color indexed="23"/>
      <name val="宋体"/>
      <charset val="0"/>
    </font>
    <font>
      <b/>
      <sz val="15"/>
      <color indexed="62"/>
      <name val="宋体"/>
      <charset val="134"/>
    </font>
    <font>
      <sz val="11"/>
      <color indexed="52"/>
      <name val="宋体"/>
      <charset val="0"/>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55"/>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57"/>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51"/>
        <bgColor indexed="64"/>
      </patternFill>
    </fill>
    <fill>
      <patternFill patternType="solid">
        <fgColor indexed="43"/>
        <bgColor indexed="64"/>
      </patternFill>
    </fill>
    <fill>
      <patternFill patternType="solid">
        <fgColor indexed="53"/>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double">
        <color indexed="52"/>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6" borderId="0" applyNumberFormat="0" applyBorder="0" applyAlignment="0" applyProtection="0">
      <alignment vertical="center"/>
    </xf>
    <xf numFmtId="0" fontId="11"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7"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3"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3" borderId="7" applyNumberFormat="0" applyFont="0" applyAlignment="0" applyProtection="0">
      <alignment vertical="center"/>
    </xf>
    <xf numFmtId="0" fontId="3" fillId="5" borderId="0" applyNumberFormat="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15" fillId="0" borderId="8" applyNumberFormat="0" applyFill="0" applyAlignment="0" applyProtection="0">
      <alignment vertical="center"/>
    </xf>
    <xf numFmtId="0" fontId="3" fillId="2" borderId="0" applyNumberFormat="0" applyBorder="0" applyAlignment="0" applyProtection="0">
      <alignment vertical="center"/>
    </xf>
    <xf numFmtId="0" fontId="10" fillId="0" borderId="5" applyNumberFormat="0" applyFill="0" applyAlignment="0" applyProtection="0">
      <alignment vertical="center"/>
    </xf>
    <xf numFmtId="0" fontId="3" fillId="3" borderId="0" applyNumberFormat="0" applyBorder="0" applyAlignment="0" applyProtection="0">
      <alignment vertical="center"/>
    </xf>
    <xf numFmtId="0" fontId="8" fillId="6" borderId="4" applyNumberFormat="0" applyAlignment="0" applyProtection="0">
      <alignment vertical="center"/>
    </xf>
    <xf numFmtId="0" fontId="14" fillId="6" borderId="6" applyNumberFormat="0" applyAlignment="0" applyProtection="0">
      <alignment vertical="center"/>
    </xf>
    <xf numFmtId="0" fontId="5" fillId="4" borderId="2" applyNumberFormat="0" applyAlignment="0" applyProtection="0">
      <alignment vertical="center"/>
    </xf>
    <xf numFmtId="0" fontId="4" fillId="12" borderId="0" applyNumberFormat="0" applyBorder="0" applyAlignment="0" applyProtection="0">
      <alignment vertical="center"/>
    </xf>
    <xf numFmtId="0" fontId="3" fillId="16" borderId="0" applyNumberFormat="0" applyBorder="0" applyAlignment="0" applyProtection="0">
      <alignment vertical="center"/>
    </xf>
    <xf numFmtId="0" fontId="20" fillId="0" borderId="9" applyNumberFormat="0" applyFill="0" applyAlignment="0" applyProtection="0">
      <alignment vertical="center"/>
    </xf>
    <xf numFmtId="0" fontId="7" fillId="0" borderId="3" applyNumberFormat="0" applyFill="0" applyAlignment="0" applyProtection="0">
      <alignment vertical="center"/>
    </xf>
    <xf numFmtId="0" fontId="17" fillId="12" borderId="0" applyNumberFormat="0" applyBorder="0" applyAlignment="0" applyProtection="0">
      <alignment vertical="center"/>
    </xf>
    <xf numFmtId="0" fontId="6" fillId="15" borderId="0" applyNumberFormat="0" applyBorder="0" applyAlignment="0" applyProtection="0">
      <alignment vertical="center"/>
    </xf>
    <xf numFmtId="0" fontId="4" fillId="9" borderId="0" applyNumberFormat="0" applyBorder="0" applyAlignment="0" applyProtection="0">
      <alignment vertical="center"/>
    </xf>
    <xf numFmtId="0" fontId="3" fillId="10" borderId="0" applyNumberFormat="0" applyBorder="0" applyAlignment="0" applyProtection="0">
      <alignment vertical="center"/>
    </xf>
    <xf numFmtId="0" fontId="4" fillId="11"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3" fillId="4" borderId="0" applyNumberFormat="0" applyBorder="0" applyAlignment="0" applyProtection="0">
      <alignment vertical="center"/>
    </xf>
    <xf numFmtId="0" fontId="3" fillId="14" borderId="0" applyNumberFormat="0" applyBorder="0" applyAlignment="0" applyProtection="0">
      <alignment vertical="center"/>
    </xf>
    <xf numFmtId="0" fontId="4" fillId="13" borderId="0" applyNumberFormat="0" applyBorder="0" applyAlignment="0" applyProtection="0">
      <alignment vertical="center"/>
    </xf>
    <xf numFmtId="0" fontId="4" fillId="3" borderId="0" applyNumberFormat="0" applyBorder="0" applyAlignment="0" applyProtection="0">
      <alignment vertical="center"/>
    </xf>
    <xf numFmtId="0" fontId="3" fillId="10" borderId="0" applyNumberFormat="0" applyBorder="0" applyAlignment="0" applyProtection="0">
      <alignment vertical="center"/>
    </xf>
    <xf numFmtId="0" fontId="4" fillId="2" borderId="0" applyNumberFormat="0" applyBorder="0" applyAlignment="0" applyProtection="0">
      <alignment vertical="center"/>
    </xf>
    <xf numFmtId="0" fontId="3" fillId="2" borderId="0" applyNumberFormat="0" applyBorder="0" applyAlignment="0" applyProtection="0">
      <alignment vertical="center"/>
    </xf>
    <xf numFmtId="0" fontId="3" fillId="8" borderId="0" applyNumberFormat="0" applyBorder="0" applyAlignment="0" applyProtection="0">
      <alignment vertical="center"/>
    </xf>
    <xf numFmtId="0" fontId="4" fillId="12" borderId="0" applyNumberFormat="0" applyBorder="0" applyAlignment="0" applyProtection="0">
      <alignment vertical="center"/>
    </xf>
    <xf numFmtId="0" fontId="3" fillId="8" borderId="0" applyNumberFormat="0" applyBorder="0" applyAlignment="0" applyProtection="0">
      <alignment vertical="center"/>
    </xf>
  </cellStyleXfs>
  <cellXfs count="6">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07"/>
  <sheetViews>
    <sheetView tabSelected="1" topLeftCell="A921" workbookViewId="0">
      <selection activeCell="H749" sqref="H749"/>
    </sheetView>
  </sheetViews>
  <sheetFormatPr defaultColWidth="9" defaultRowHeight="13.5" outlineLevelCol="7"/>
  <cols>
    <col min="1" max="1" width="7.125" style="2" customWidth="1"/>
    <col min="2" max="3" width="27.125" style="2" customWidth="1"/>
    <col min="4" max="4" width="16.375" style="2" customWidth="1"/>
    <col min="5" max="6" width="9" style="2"/>
    <col min="7" max="7" width="12.875" style="2" customWidth="1"/>
    <col min="8" max="8" width="34.375" style="2" customWidth="1"/>
    <col min="9" max="16383" width="9" style="2"/>
  </cols>
  <sheetData>
    <row r="1" ht="30" customHeight="1" spans="1:8">
      <c r="A1" s="3" t="s">
        <v>0</v>
      </c>
      <c r="B1" s="3"/>
      <c r="C1" s="3"/>
      <c r="D1" s="3"/>
      <c r="E1" s="3"/>
      <c r="F1" s="3"/>
      <c r="G1" s="3"/>
      <c r="H1" s="3"/>
    </row>
    <row r="2" s="1" customFormat="1" ht="20" customHeight="1" spans="1:8">
      <c r="A2" s="4" t="s">
        <v>1</v>
      </c>
      <c r="B2" s="4" t="s">
        <v>2</v>
      </c>
      <c r="C2" s="4" t="s">
        <v>3</v>
      </c>
      <c r="D2" s="4" t="s">
        <v>4</v>
      </c>
      <c r="E2" s="4" t="s">
        <v>5</v>
      </c>
      <c r="F2" s="4" t="s">
        <v>6</v>
      </c>
      <c r="G2" s="4" t="s">
        <v>7</v>
      </c>
      <c r="H2" s="4" t="s">
        <v>8</v>
      </c>
    </row>
    <row r="3" s="2" customFormat="1" ht="20" customHeight="1" spans="1:8">
      <c r="A3" s="5">
        <v>1</v>
      </c>
      <c r="B3" s="5" t="str">
        <f>"223220191123081225209961"</f>
        <v>223220191123081225209961</v>
      </c>
      <c r="C3" s="5" t="s">
        <v>9</v>
      </c>
      <c r="D3" s="5" t="s">
        <v>10</v>
      </c>
      <c r="E3" s="5" t="str">
        <f>"陈慧银"</f>
        <v>陈慧银</v>
      </c>
      <c r="F3" s="5" t="str">
        <f t="shared" ref="F3:F6" si="0">"女"</f>
        <v>女</v>
      </c>
      <c r="G3" s="5" t="str">
        <f>"1997-12-09"</f>
        <v>1997-12-09</v>
      </c>
      <c r="H3" s="5" t="str">
        <f>"忻州师范学院"</f>
        <v>忻州师范学院</v>
      </c>
    </row>
    <row r="4" s="2" customFormat="1" ht="20" customHeight="1" spans="1:8">
      <c r="A4" s="5">
        <v>2</v>
      </c>
      <c r="B4" s="5" t="str">
        <f>"223220191123082729209969"</f>
        <v>223220191123082729209969</v>
      </c>
      <c r="C4" s="5" t="s">
        <v>9</v>
      </c>
      <c r="D4" s="5" t="s">
        <v>10</v>
      </c>
      <c r="E4" s="5" t="str">
        <f>"符蕊"</f>
        <v>符蕊</v>
      </c>
      <c r="F4" s="5" t="str">
        <f t="shared" si="0"/>
        <v>女</v>
      </c>
      <c r="G4" s="5" t="str">
        <f>"1997-06-28"</f>
        <v>1997-06-28</v>
      </c>
      <c r="H4" s="5" t="str">
        <f>"海南热带海洋学院"</f>
        <v>海南热带海洋学院</v>
      </c>
    </row>
    <row r="5" s="2" customFormat="1" ht="20" customHeight="1" spans="1:8">
      <c r="A5" s="5">
        <v>3</v>
      </c>
      <c r="B5" s="5" t="str">
        <f>"223220191123111041210171"</f>
        <v>223220191123111041210171</v>
      </c>
      <c r="C5" s="5" t="s">
        <v>9</v>
      </c>
      <c r="D5" s="5" t="s">
        <v>10</v>
      </c>
      <c r="E5" s="5" t="str">
        <f>"刘铭帅"</f>
        <v>刘铭帅</v>
      </c>
      <c r="F5" s="5" t="str">
        <f t="shared" ref="F5:F9" si="1">"男"</f>
        <v>男</v>
      </c>
      <c r="G5" s="5" t="str">
        <f>"1993-11-30"</f>
        <v>1993-11-30</v>
      </c>
      <c r="H5" s="5" t="str">
        <f>"三亚学院"</f>
        <v>三亚学院</v>
      </c>
    </row>
    <row r="6" s="2" customFormat="1" ht="20" customHeight="1" spans="1:8">
      <c r="A6" s="5">
        <v>4</v>
      </c>
      <c r="B6" s="5" t="str">
        <f>"223220191123130138210293"</f>
        <v>223220191123130138210293</v>
      </c>
      <c r="C6" s="5" t="s">
        <v>9</v>
      </c>
      <c r="D6" s="5" t="s">
        <v>10</v>
      </c>
      <c r="E6" s="5" t="str">
        <f>"羊淑香"</f>
        <v>羊淑香</v>
      </c>
      <c r="F6" s="5" t="str">
        <f>"女"</f>
        <v>女</v>
      </c>
      <c r="G6" s="5" t="str">
        <f>"1994-11-02"</f>
        <v>1994-11-02</v>
      </c>
      <c r="H6" s="5" t="str">
        <f>"湖南工业大学"</f>
        <v>湖南工业大学</v>
      </c>
    </row>
    <row r="7" s="2" customFormat="1" ht="20" customHeight="1" spans="1:8">
      <c r="A7" s="5">
        <v>5</v>
      </c>
      <c r="B7" s="5" t="str">
        <f>"223220191123203528210633"</f>
        <v>223220191123203528210633</v>
      </c>
      <c r="C7" s="5" t="s">
        <v>9</v>
      </c>
      <c r="D7" s="5" t="s">
        <v>10</v>
      </c>
      <c r="E7" s="5" t="str">
        <f>"谢才蔚"</f>
        <v>谢才蔚</v>
      </c>
      <c r="F7" s="5" t="str">
        <f>"男"</f>
        <v>男</v>
      </c>
      <c r="G7" s="5" t="str">
        <f>"1993-07-24"</f>
        <v>1993-07-24</v>
      </c>
      <c r="H7" s="5" t="str">
        <f>"中北大学"</f>
        <v>中北大学</v>
      </c>
    </row>
    <row r="8" s="2" customFormat="1" ht="20" customHeight="1" spans="1:8">
      <c r="A8" s="5">
        <v>6</v>
      </c>
      <c r="B8" s="5" t="str">
        <f>"223220191123210322210657"</f>
        <v>223220191123210322210657</v>
      </c>
      <c r="C8" s="5" t="s">
        <v>9</v>
      </c>
      <c r="D8" s="5" t="s">
        <v>10</v>
      </c>
      <c r="E8" s="5" t="str">
        <f>"魏丽萍"</f>
        <v>魏丽萍</v>
      </c>
      <c r="F8" s="5" t="str">
        <f t="shared" ref="F8:F12" si="2">"女"</f>
        <v>女</v>
      </c>
      <c r="G8" s="5" t="str">
        <f>"1988-04-20"</f>
        <v>1988-04-20</v>
      </c>
      <c r="H8" s="5" t="str">
        <f>"湖北师范学院文理学院"</f>
        <v>湖北师范学院文理学院</v>
      </c>
    </row>
    <row r="9" s="2" customFormat="1" ht="20" customHeight="1" spans="1:8">
      <c r="A9" s="5">
        <v>7</v>
      </c>
      <c r="B9" s="5" t="str">
        <f>"223220191123233356210742"</f>
        <v>223220191123233356210742</v>
      </c>
      <c r="C9" s="5" t="s">
        <v>9</v>
      </c>
      <c r="D9" s="5" t="s">
        <v>10</v>
      </c>
      <c r="E9" s="5" t="str">
        <f>"周锦畅"</f>
        <v>周锦畅</v>
      </c>
      <c r="F9" s="5" t="str">
        <f>"男"</f>
        <v>男</v>
      </c>
      <c r="G9" s="5" t="str">
        <f>"1996-01-15"</f>
        <v>1996-01-15</v>
      </c>
      <c r="H9" s="5" t="str">
        <f>"西安翻译学院"</f>
        <v>西安翻译学院</v>
      </c>
    </row>
    <row r="10" s="2" customFormat="1" ht="20" customHeight="1" spans="1:8">
      <c r="A10" s="5">
        <v>8</v>
      </c>
      <c r="B10" s="5" t="str">
        <f>"223220191124182043211223"</f>
        <v>223220191124182043211223</v>
      </c>
      <c r="C10" s="5" t="s">
        <v>9</v>
      </c>
      <c r="D10" s="5" t="s">
        <v>10</v>
      </c>
      <c r="E10" s="5" t="str">
        <f>"唐景丽"</f>
        <v>唐景丽</v>
      </c>
      <c r="F10" s="5" t="str">
        <f t="shared" ref="F10:F15" si="3">"女"</f>
        <v>女</v>
      </c>
      <c r="G10" s="5" t="str">
        <f>"1996-10-10"</f>
        <v>1996-10-10</v>
      </c>
      <c r="H10" s="5" t="str">
        <f>"云南大学旅游文化学院"</f>
        <v>云南大学旅游文化学院</v>
      </c>
    </row>
    <row r="11" s="2" customFormat="1" ht="20" customHeight="1" spans="1:8">
      <c r="A11" s="5">
        <v>9</v>
      </c>
      <c r="B11" s="5" t="str">
        <f>"223220191124182047211224"</f>
        <v>223220191124182047211224</v>
      </c>
      <c r="C11" s="5" t="s">
        <v>9</v>
      </c>
      <c r="D11" s="5" t="s">
        <v>10</v>
      </c>
      <c r="E11" s="5" t="str">
        <f>"蔡於良"</f>
        <v>蔡於良</v>
      </c>
      <c r="F11" s="5" t="str">
        <f t="shared" ref="F11:F17" si="4">"男"</f>
        <v>男</v>
      </c>
      <c r="G11" s="5" t="str">
        <f>"1993-12-05"</f>
        <v>1993-12-05</v>
      </c>
      <c r="H11" s="5" t="str">
        <f>"忻州师范学院"</f>
        <v>忻州师范学院</v>
      </c>
    </row>
    <row r="12" s="2" customFormat="1" ht="20" customHeight="1" spans="1:8">
      <c r="A12" s="5">
        <v>10</v>
      </c>
      <c r="B12" s="5" t="str">
        <f>"223220191124234659211480"</f>
        <v>223220191124234659211480</v>
      </c>
      <c r="C12" s="5" t="s">
        <v>9</v>
      </c>
      <c r="D12" s="5" t="s">
        <v>10</v>
      </c>
      <c r="E12" s="5" t="str">
        <f>"王爱霞"</f>
        <v>王爱霞</v>
      </c>
      <c r="F12" s="5" t="str">
        <f>"女"</f>
        <v>女</v>
      </c>
      <c r="G12" s="5" t="str">
        <f>"1995-03-08"</f>
        <v>1995-03-08</v>
      </c>
      <c r="H12" s="5" t="str">
        <f>"安阳师范学院人文管理学院"</f>
        <v>安阳师范学院人文管理学院</v>
      </c>
    </row>
    <row r="13" s="2" customFormat="1" ht="20" customHeight="1" spans="1:8">
      <c r="A13" s="5">
        <v>11</v>
      </c>
      <c r="B13" s="5" t="str">
        <f>"223220191125082457211521"</f>
        <v>223220191125082457211521</v>
      </c>
      <c r="C13" s="5" t="s">
        <v>9</v>
      </c>
      <c r="D13" s="5" t="s">
        <v>10</v>
      </c>
      <c r="E13" s="5" t="str">
        <f>"吴体道"</f>
        <v>吴体道</v>
      </c>
      <c r="F13" s="5" t="str">
        <f t="shared" ref="F13:F17" si="5">"男"</f>
        <v>男</v>
      </c>
      <c r="G13" s="5" t="str">
        <f>"1991-10-05"</f>
        <v>1991-10-05</v>
      </c>
      <c r="H13" s="5" t="str">
        <f>"西南大学育才学院"</f>
        <v>西南大学育才学院</v>
      </c>
    </row>
    <row r="14" s="2" customFormat="1" ht="20" customHeight="1" spans="1:8">
      <c r="A14" s="5">
        <v>12</v>
      </c>
      <c r="B14" s="5" t="str">
        <f>"223220191125083514211537"</f>
        <v>223220191125083514211537</v>
      </c>
      <c r="C14" s="5" t="s">
        <v>9</v>
      </c>
      <c r="D14" s="5" t="s">
        <v>10</v>
      </c>
      <c r="E14" s="5" t="str">
        <f>"谢萧蔚"</f>
        <v>谢萧蔚</v>
      </c>
      <c r="F14" s="5" t="str">
        <f>"女"</f>
        <v>女</v>
      </c>
      <c r="G14" s="5" t="str">
        <f>"1994-06-18"</f>
        <v>1994-06-18</v>
      </c>
      <c r="H14" s="5" t="str">
        <f>"华北科技学院"</f>
        <v>华北科技学院</v>
      </c>
    </row>
    <row r="15" s="2" customFormat="1" ht="20" customHeight="1" spans="1:8">
      <c r="A15" s="5">
        <v>13</v>
      </c>
      <c r="B15" s="5" t="str">
        <f>"223220191125083733211539"</f>
        <v>223220191125083733211539</v>
      </c>
      <c r="C15" s="5" t="s">
        <v>9</v>
      </c>
      <c r="D15" s="5" t="s">
        <v>10</v>
      </c>
      <c r="E15" s="5" t="str">
        <f>"符秋香"</f>
        <v>符秋香</v>
      </c>
      <c r="F15" s="5" t="str">
        <f>"女"</f>
        <v>女</v>
      </c>
      <c r="G15" s="5" t="str">
        <f>"1992-01-07"</f>
        <v>1992-01-07</v>
      </c>
      <c r="H15" s="5" t="str">
        <f>"云南大学旅游文化学院"</f>
        <v>云南大学旅游文化学院</v>
      </c>
    </row>
    <row r="16" s="2" customFormat="1" ht="20" customHeight="1" spans="1:8">
      <c r="A16" s="5">
        <v>14</v>
      </c>
      <c r="B16" s="5" t="str">
        <f>"223220191125092623211647"</f>
        <v>223220191125092623211647</v>
      </c>
      <c r="C16" s="5" t="s">
        <v>9</v>
      </c>
      <c r="D16" s="5" t="s">
        <v>10</v>
      </c>
      <c r="E16" s="5" t="str">
        <f>"甘江瑶"</f>
        <v>甘江瑶</v>
      </c>
      <c r="F16" s="5" t="str">
        <f>"男"</f>
        <v>男</v>
      </c>
      <c r="G16" s="5" t="str">
        <f>"1994-11-07"</f>
        <v>1994-11-07</v>
      </c>
      <c r="H16" s="5" t="str">
        <f>"重庆师范大学涉外商贸学院"</f>
        <v>重庆师范大学涉外商贸学院</v>
      </c>
    </row>
    <row r="17" s="2" customFormat="1" ht="20" customHeight="1" spans="1:8">
      <c r="A17" s="5">
        <v>15</v>
      </c>
      <c r="B17" s="5" t="str">
        <f>"223220191125100017211719"</f>
        <v>223220191125100017211719</v>
      </c>
      <c r="C17" s="5" t="s">
        <v>9</v>
      </c>
      <c r="D17" s="5" t="s">
        <v>10</v>
      </c>
      <c r="E17" s="5" t="str">
        <f>"符锋光"</f>
        <v>符锋光</v>
      </c>
      <c r="F17" s="5" t="str">
        <f>"男"</f>
        <v>男</v>
      </c>
      <c r="G17" s="5" t="str">
        <f>"1991-05-06"</f>
        <v>1991-05-06</v>
      </c>
      <c r="H17" s="5" t="str">
        <f>"海南师范大学"</f>
        <v>海南师范大学</v>
      </c>
    </row>
    <row r="18" s="2" customFormat="1" ht="20" customHeight="1" spans="1:8">
      <c r="A18" s="5">
        <v>16</v>
      </c>
      <c r="B18" s="5" t="str">
        <f>"223220191125113856211916"</f>
        <v>223220191125113856211916</v>
      </c>
      <c r="C18" s="5" t="s">
        <v>9</v>
      </c>
      <c r="D18" s="5" t="s">
        <v>10</v>
      </c>
      <c r="E18" s="5" t="str">
        <f>"黄雅格"</f>
        <v>黄雅格</v>
      </c>
      <c r="F18" s="5" t="str">
        <f t="shared" ref="F18:F24" si="6">"女"</f>
        <v>女</v>
      </c>
      <c r="G18" s="5" t="str">
        <f>"1997-04-28"</f>
        <v>1997-04-28</v>
      </c>
      <c r="H18" s="5" t="str">
        <f>"湖北文理学院"</f>
        <v>湖北文理学院</v>
      </c>
    </row>
    <row r="19" s="2" customFormat="1" ht="20" customHeight="1" spans="1:8">
      <c r="A19" s="5">
        <v>17</v>
      </c>
      <c r="B19" s="5" t="str">
        <f>"223220191125145027212131"</f>
        <v>223220191125145027212131</v>
      </c>
      <c r="C19" s="5" t="s">
        <v>9</v>
      </c>
      <c r="D19" s="5" t="s">
        <v>10</v>
      </c>
      <c r="E19" s="5" t="str">
        <f>"林嘉敏"</f>
        <v>林嘉敏</v>
      </c>
      <c r="F19" s="5" t="str">
        <f t="shared" si="6"/>
        <v>女</v>
      </c>
      <c r="G19" s="5" t="str">
        <f>"1996-05-15"</f>
        <v>1996-05-15</v>
      </c>
      <c r="H19" s="5" t="str">
        <f>"常州大学"</f>
        <v>常州大学</v>
      </c>
    </row>
    <row r="20" s="2" customFormat="1" ht="20" customHeight="1" spans="1:8">
      <c r="A20" s="5">
        <v>18</v>
      </c>
      <c r="B20" s="5" t="str">
        <f>"223220191125150946212173"</f>
        <v>223220191125150946212173</v>
      </c>
      <c r="C20" s="5" t="s">
        <v>9</v>
      </c>
      <c r="D20" s="5" t="s">
        <v>10</v>
      </c>
      <c r="E20" s="5" t="str">
        <f>"吴思思"</f>
        <v>吴思思</v>
      </c>
      <c r="F20" s="5" t="str">
        <f t="shared" si="6"/>
        <v>女</v>
      </c>
      <c r="G20" s="5" t="str">
        <f>"1993-04-03"</f>
        <v>1993-04-03</v>
      </c>
      <c r="H20" s="5" t="str">
        <f>"忻州师范学院"</f>
        <v>忻州师范学院</v>
      </c>
    </row>
    <row r="21" s="2" customFormat="1" ht="20" customHeight="1" spans="1:8">
      <c r="A21" s="5">
        <v>19</v>
      </c>
      <c r="B21" s="5" t="str">
        <f>"223220191125153908212240"</f>
        <v>223220191125153908212240</v>
      </c>
      <c r="C21" s="5" t="s">
        <v>9</v>
      </c>
      <c r="D21" s="5" t="s">
        <v>10</v>
      </c>
      <c r="E21" s="5" t="str">
        <f>"桂卫丽"</f>
        <v>桂卫丽</v>
      </c>
      <c r="F21" s="5" t="str">
        <f t="shared" si="6"/>
        <v>女</v>
      </c>
      <c r="G21" s="5" t="str">
        <f>"1994-04-17"</f>
        <v>1994-04-17</v>
      </c>
      <c r="H21" s="5" t="str">
        <f>"海南热带海洋学院"</f>
        <v>海南热带海洋学院</v>
      </c>
    </row>
    <row r="22" s="2" customFormat="1" ht="20" customHeight="1" spans="1:8">
      <c r="A22" s="5">
        <v>20</v>
      </c>
      <c r="B22" s="5" t="str">
        <f>"223220191125155615212269"</f>
        <v>223220191125155615212269</v>
      </c>
      <c r="C22" s="5" t="s">
        <v>9</v>
      </c>
      <c r="D22" s="5" t="s">
        <v>10</v>
      </c>
      <c r="E22" s="5" t="str">
        <f>"曾蔚玲"</f>
        <v>曾蔚玲</v>
      </c>
      <c r="F22" s="5" t="str">
        <f t="shared" si="6"/>
        <v>女</v>
      </c>
      <c r="G22" s="5" t="str">
        <f>"1996-04-26"</f>
        <v>1996-04-26</v>
      </c>
      <c r="H22" s="5" t="str">
        <f>"三亚学院"</f>
        <v>三亚学院</v>
      </c>
    </row>
    <row r="23" s="2" customFormat="1" ht="20" customHeight="1" spans="1:8">
      <c r="A23" s="5">
        <v>21</v>
      </c>
      <c r="B23" s="5" t="str">
        <f>"223220191125182739212460"</f>
        <v>223220191125182739212460</v>
      </c>
      <c r="C23" s="5" t="s">
        <v>9</v>
      </c>
      <c r="D23" s="5" t="s">
        <v>10</v>
      </c>
      <c r="E23" s="5" t="str">
        <f>"吉慧颖"</f>
        <v>吉慧颖</v>
      </c>
      <c r="F23" s="5" t="str">
        <f t="shared" si="6"/>
        <v>女</v>
      </c>
      <c r="G23" s="5" t="str">
        <f>"1991-01-02"</f>
        <v>1991-01-02</v>
      </c>
      <c r="H23" s="5" t="str">
        <f>"中山大学南方学院"</f>
        <v>中山大学南方学院</v>
      </c>
    </row>
    <row r="24" s="2" customFormat="1" ht="20" customHeight="1" spans="1:8">
      <c r="A24" s="5">
        <v>22</v>
      </c>
      <c r="B24" s="5" t="str">
        <f>"223220191125192439212517"</f>
        <v>223220191125192439212517</v>
      </c>
      <c r="C24" s="5" t="s">
        <v>9</v>
      </c>
      <c r="D24" s="5" t="s">
        <v>10</v>
      </c>
      <c r="E24" s="5" t="str">
        <f>"丁丽霞"</f>
        <v>丁丽霞</v>
      </c>
      <c r="F24" s="5" t="str">
        <f t="shared" si="6"/>
        <v>女</v>
      </c>
      <c r="G24" s="5" t="str">
        <f>"1993-06-10"</f>
        <v>1993-06-10</v>
      </c>
      <c r="H24" s="5" t="str">
        <f>"吉首大学"</f>
        <v>吉首大学</v>
      </c>
    </row>
    <row r="25" s="2" customFormat="1" ht="20" customHeight="1" spans="1:8">
      <c r="A25" s="5">
        <v>23</v>
      </c>
      <c r="B25" s="5" t="str">
        <f>"223220191125210736212659"</f>
        <v>223220191125210736212659</v>
      </c>
      <c r="C25" s="5" t="s">
        <v>9</v>
      </c>
      <c r="D25" s="5" t="s">
        <v>10</v>
      </c>
      <c r="E25" s="5" t="str">
        <f>"陈圣顺"</f>
        <v>陈圣顺</v>
      </c>
      <c r="F25" s="5" t="str">
        <f t="shared" ref="F25:F27" si="7">"男"</f>
        <v>男</v>
      </c>
      <c r="G25" s="5" t="str">
        <f>"1993-11-12"</f>
        <v>1993-11-12</v>
      </c>
      <c r="H25" s="5" t="str">
        <f>"广西民族师范学院"</f>
        <v>广西民族师范学院</v>
      </c>
    </row>
    <row r="26" s="2" customFormat="1" ht="20" customHeight="1" spans="1:8">
      <c r="A26" s="5">
        <v>24</v>
      </c>
      <c r="B26" s="5" t="str">
        <f>"223220191125225952212792"</f>
        <v>223220191125225952212792</v>
      </c>
      <c r="C26" s="5" t="s">
        <v>9</v>
      </c>
      <c r="D26" s="5" t="s">
        <v>10</v>
      </c>
      <c r="E26" s="5" t="str">
        <f>"羊山青"</f>
        <v>羊山青</v>
      </c>
      <c r="F26" s="5" t="str">
        <f t="shared" si="7"/>
        <v>男</v>
      </c>
      <c r="G26" s="5" t="str">
        <f>"1995-08-21"</f>
        <v>1995-08-21</v>
      </c>
      <c r="H26" s="5" t="str">
        <f>"三亚学院"</f>
        <v>三亚学院</v>
      </c>
    </row>
    <row r="27" s="2" customFormat="1" ht="20" customHeight="1" spans="1:8">
      <c r="A27" s="5">
        <v>25</v>
      </c>
      <c r="B27" s="5" t="str">
        <f>"223220191126105708213466"</f>
        <v>223220191126105708213466</v>
      </c>
      <c r="C27" s="5" t="s">
        <v>9</v>
      </c>
      <c r="D27" s="5" t="s">
        <v>10</v>
      </c>
      <c r="E27" s="5" t="str">
        <f>"卓毛朝"</f>
        <v>卓毛朝</v>
      </c>
      <c r="F27" s="5" t="str">
        <f t="shared" si="7"/>
        <v>男</v>
      </c>
      <c r="G27" s="5" t="str">
        <f>"1991-08-10"</f>
        <v>1991-08-10</v>
      </c>
      <c r="H27" s="5" t="str">
        <f>"西南大学育才学院"</f>
        <v>西南大学育才学院</v>
      </c>
    </row>
    <row r="28" s="2" customFormat="1" ht="20" customHeight="1" spans="1:8">
      <c r="A28" s="5">
        <v>26</v>
      </c>
      <c r="B28" s="5" t="str">
        <f>"223220191126112538213556"</f>
        <v>223220191126112538213556</v>
      </c>
      <c r="C28" s="5" t="s">
        <v>9</v>
      </c>
      <c r="D28" s="5" t="s">
        <v>10</v>
      </c>
      <c r="E28" s="5" t="str">
        <f>"张彩瑶"</f>
        <v>张彩瑶</v>
      </c>
      <c r="F28" s="5" t="str">
        <f>"女"</f>
        <v>女</v>
      </c>
      <c r="G28" s="5" t="str">
        <f>"1996-06-23"</f>
        <v>1996-06-23</v>
      </c>
      <c r="H28" s="5" t="str">
        <f>"长春光华学院"</f>
        <v>长春光华学院</v>
      </c>
    </row>
    <row r="29" s="2" customFormat="1" ht="20" customHeight="1" spans="1:8">
      <c r="A29" s="5">
        <v>27</v>
      </c>
      <c r="B29" s="5" t="str">
        <f>"223220191126113129213576"</f>
        <v>223220191126113129213576</v>
      </c>
      <c r="C29" s="5" t="s">
        <v>9</v>
      </c>
      <c r="D29" s="5" t="s">
        <v>10</v>
      </c>
      <c r="E29" s="5" t="str">
        <f>"符小贝"</f>
        <v>符小贝</v>
      </c>
      <c r="F29" s="5" t="str">
        <f>"男"</f>
        <v>男</v>
      </c>
      <c r="G29" s="5" t="str">
        <f>"1997-08-07"</f>
        <v>1997-08-07</v>
      </c>
      <c r="H29" s="5" t="str">
        <f>"海南师范大学"</f>
        <v>海南师范大学</v>
      </c>
    </row>
    <row r="30" s="2" customFormat="1" ht="20" customHeight="1" spans="1:8">
      <c r="A30" s="5">
        <v>28</v>
      </c>
      <c r="B30" s="5" t="str">
        <f>"223220191126120945213669"</f>
        <v>223220191126120945213669</v>
      </c>
      <c r="C30" s="5" t="s">
        <v>9</v>
      </c>
      <c r="D30" s="5" t="s">
        <v>10</v>
      </c>
      <c r="E30" s="5" t="str">
        <f>"许慧"</f>
        <v>许慧</v>
      </c>
      <c r="F30" s="5" t="str">
        <f t="shared" ref="F30:F41" si="8">"女"</f>
        <v>女</v>
      </c>
      <c r="G30" s="5" t="str">
        <f>"1988-09-24"</f>
        <v>1988-09-24</v>
      </c>
      <c r="H30" s="5" t="str">
        <f>"河北工程大学文学院"</f>
        <v>河北工程大学文学院</v>
      </c>
    </row>
    <row r="31" s="2" customFormat="1" ht="20" customHeight="1" spans="1:8">
      <c r="A31" s="5">
        <v>29</v>
      </c>
      <c r="B31" s="5" t="str">
        <f>"223220191126153929214104"</f>
        <v>223220191126153929214104</v>
      </c>
      <c r="C31" s="5" t="s">
        <v>9</v>
      </c>
      <c r="D31" s="5" t="s">
        <v>10</v>
      </c>
      <c r="E31" s="5" t="str">
        <f>"陈玉玲"</f>
        <v>陈玉玲</v>
      </c>
      <c r="F31" s="5" t="str">
        <f t="shared" si="8"/>
        <v>女</v>
      </c>
      <c r="G31" s="5" t="str">
        <f>"1997-03-24"</f>
        <v>1997-03-24</v>
      </c>
      <c r="H31" s="5" t="str">
        <f>"重庆师范大学涉外商贸学院"</f>
        <v>重庆师范大学涉外商贸学院</v>
      </c>
    </row>
    <row r="32" s="2" customFormat="1" ht="20" customHeight="1" spans="1:8">
      <c r="A32" s="5">
        <v>30</v>
      </c>
      <c r="B32" s="5" t="str">
        <f>"223220191126161312214171"</f>
        <v>223220191126161312214171</v>
      </c>
      <c r="C32" s="5" t="s">
        <v>9</v>
      </c>
      <c r="D32" s="5" t="s">
        <v>10</v>
      </c>
      <c r="E32" s="5" t="str">
        <f>"邓金雪"</f>
        <v>邓金雪</v>
      </c>
      <c r="F32" s="5" t="str">
        <f t="shared" si="8"/>
        <v>女</v>
      </c>
      <c r="G32" s="5" t="str">
        <f>"1992-10-11"</f>
        <v>1992-10-11</v>
      </c>
      <c r="H32" s="5" t="str">
        <f>"中南民族大学"</f>
        <v>中南民族大学</v>
      </c>
    </row>
    <row r="33" s="2" customFormat="1" ht="20" customHeight="1" spans="1:8">
      <c r="A33" s="5">
        <v>31</v>
      </c>
      <c r="B33" s="5" t="str">
        <f>"223220191126162107214187"</f>
        <v>223220191126162107214187</v>
      </c>
      <c r="C33" s="5" t="s">
        <v>9</v>
      </c>
      <c r="D33" s="5" t="s">
        <v>10</v>
      </c>
      <c r="E33" s="5" t="str">
        <f>"王娟"</f>
        <v>王娟</v>
      </c>
      <c r="F33" s="5" t="str">
        <f t="shared" si="8"/>
        <v>女</v>
      </c>
      <c r="G33" s="5" t="str">
        <f>"1990-07-29"</f>
        <v>1990-07-29</v>
      </c>
      <c r="H33" s="5" t="str">
        <f>"衡水学院"</f>
        <v>衡水学院</v>
      </c>
    </row>
    <row r="34" s="2" customFormat="1" ht="20" customHeight="1" spans="1:8">
      <c r="A34" s="5">
        <v>32</v>
      </c>
      <c r="B34" s="5" t="str">
        <f>"223220191126181404214442"</f>
        <v>223220191126181404214442</v>
      </c>
      <c r="C34" s="5" t="s">
        <v>9</v>
      </c>
      <c r="D34" s="5" t="s">
        <v>10</v>
      </c>
      <c r="E34" s="5" t="str">
        <f>"谢宝卿"</f>
        <v>谢宝卿</v>
      </c>
      <c r="F34" s="5" t="str">
        <f t="shared" si="8"/>
        <v>女</v>
      </c>
      <c r="G34" s="5" t="str">
        <f>"1993-10-16"</f>
        <v>1993-10-16</v>
      </c>
      <c r="H34" s="5" t="str">
        <f>"三明学院"</f>
        <v>三明学院</v>
      </c>
    </row>
    <row r="35" s="2" customFormat="1" ht="20" customHeight="1" spans="1:8">
      <c r="A35" s="5">
        <v>33</v>
      </c>
      <c r="B35" s="5" t="str">
        <f>"223220191126203723214676"</f>
        <v>223220191126203723214676</v>
      </c>
      <c r="C35" s="5" t="s">
        <v>9</v>
      </c>
      <c r="D35" s="5" t="s">
        <v>10</v>
      </c>
      <c r="E35" s="5" t="str">
        <f>"林紫强"</f>
        <v>林紫强</v>
      </c>
      <c r="F35" s="5" t="str">
        <f t="shared" si="8"/>
        <v>女</v>
      </c>
      <c r="G35" s="5" t="str">
        <f>"1993-12-06"</f>
        <v>1993-12-06</v>
      </c>
      <c r="H35" s="5" t="str">
        <f>"海南大学"</f>
        <v>海南大学</v>
      </c>
    </row>
    <row r="36" s="2" customFormat="1" ht="20" customHeight="1" spans="1:8">
      <c r="A36" s="5">
        <v>34</v>
      </c>
      <c r="B36" s="5" t="str">
        <f>"223220191126205508214714"</f>
        <v>223220191126205508214714</v>
      </c>
      <c r="C36" s="5" t="s">
        <v>9</v>
      </c>
      <c r="D36" s="5" t="s">
        <v>10</v>
      </c>
      <c r="E36" s="5" t="str">
        <f>"陈旭"</f>
        <v>陈旭</v>
      </c>
      <c r="F36" s="5" t="str">
        <f t="shared" si="8"/>
        <v>女</v>
      </c>
      <c r="G36" s="5" t="str">
        <f>"1992-06-08"</f>
        <v>1992-06-08</v>
      </c>
      <c r="H36" s="5" t="str">
        <f>"湖北科技学院"</f>
        <v>湖北科技学院</v>
      </c>
    </row>
    <row r="37" s="2" customFormat="1" ht="20" customHeight="1" spans="1:8">
      <c r="A37" s="5">
        <v>35</v>
      </c>
      <c r="B37" s="5" t="str">
        <f>"223220191127084505215023"</f>
        <v>223220191127084505215023</v>
      </c>
      <c r="C37" s="5" t="s">
        <v>9</v>
      </c>
      <c r="D37" s="5" t="s">
        <v>10</v>
      </c>
      <c r="E37" s="5" t="str">
        <f>"林芳"</f>
        <v>林芳</v>
      </c>
      <c r="F37" s="5" t="str">
        <f t="shared" si="8"/>
        <v>女</v>
      </c>
      <c r="G37" s="5" t="str">
        <f>"1993-12-14"</f>
        <v>1993-12-14</v>
      </c>
      <c r="H37" s="5" t="str">
        <f>"贵州省凯里学院"</f>
        <v>贵州省凯里学院</v>
      </c>
    </row>
    <row r="38" s="2" customFormat="1" ht="20" customHeight="1" spans="1:8">
      <c r="A38" s="5">
        <v>36</v>
      </c>
      <c r="B38" s="5" t="str">
        <f>"223220191127091912215089"</f>
        <v>223220191127091912215089</v>
      </c>
      <c r="C38" s="5" t="s">
        <v>9</v>
      </c>
      <c r="D38" s="5" t="s">
        <v>10</v>
      </c>
      <c r="E38" s="5" t="str">
        <f>"王丹"</f>
        <v>王丹</v>
      </c>
      <c r="F38" s="5" t="str">
        <f t="shared" si="8"/>
        <v>女</v>
      </c>
      <c r="G38" s="5" t="str">
        <f>"1995-03-05"</f>
        <v>1995-03-05</v>
      </c>
      <c r="H38" s="5" t="str">
        <f>"海南热带海洋学院"</f>
        <v>海南热带海洋学院</v>
      </c>
    </row>
    <row r="39" s="2" customFormat="1" ht="20" customHeight="1" spans="1:8">
      <c r="A39" s="5">
        <v>37</v>
      </c>
      <c r="B39" s="5" t="str">
        <f>"223220191127100534215179"</f>
        <v>223220191127100534215179</v>
      </c>
      <c r="C39" s="5" t="s">
        <v>9</v>
      </c>
      <c r="D39" s="5" t="s">
        <v>10</v>
      </c>
      <c r="E39" s="5" t="str">
        <f>"韩颖琳"</f>
        <v>韩颖琳</v>
      </c>
      <c r="F39" s="5" t="str">
        <f t="shared" si="8"/>
        <v>女</v>
      </c>
      <c r="G39" s="5" t="str">
        <f>"1984-12-05"</f>
        <v>1984-12-05</v>
      </c>
      <c r="H39" s="5" t="str">
        <f>"大连民族学院"</f>
        <v>大连民族学院</v>
      </c>
    </row>
    <row r="40" s="2" customFormat="1" ht="20" customHeight="1" spans="1:8">
      <c r="A40" s="5">
        <v>38</v>
      </c>
      <c r="B40" s="5" t="str">
        <f>"223220191127124634215430"</f>
        <v>223220191127124634215430</v>
      </c>
      <c r="C40" s="5" t="s">
        <v>9</v>
      </c>
      <c r="D40" s="5" t="s">
        <v>10</v>
      </c>
      <c r="E40" s="5" t="str">
        <f>"羊彩丹"</f>
        <v>羊彩丹</v>
      </c>
      <c r="F40" s="5" t="str">
        <f t="shared" si="8"/>
        <v>女</v>
      </c>
      <c r="G40" s="5" t="str">
        <f>"1996-03-05"</f>
        <v>1996-03-05</v>
      </c>
      <c r="H40" s="5" t="str">
        <f>"江西科技师范大学"</f>
        <v>江西科技师范大学</v>
      </c>
    </row>
    <row r="41" s="2" customFormat="1" ht="20" customHeight="1" spans="1:8">
      <c r="A41" s="5">
        <v>39</v>
      </c>
      <c r="B41" s="5" t="str">
        <f>"223220191127142829215539"</f>
        <v>223220191127142829215539</v>
      </c>
      <c r="C41" s="5" t="s">
        <v>9</v>
      </c>
      <c r="D41" s="5" t="s">
        <v>10</v>
      </c>
      <c r="E41" s="5" t="str">
        <f>"周冬瑜"</f>
        <v>周冬瑜</v>
      </c>
      <c r="F41" s="5" t="str">
        <f t="shared" si="8"/>
        <v>女</v>
      </c>
      <c r="G41" s="5" t="str">
        <f>"1994-04-20"</f>
        <v>1994-04-20</v>
      </c>
      <c r="H41" s="5" t="str">
        <f>"湘潭大学"</f>
        <v>湘潭大学</v>
      </c>
    </row>
    <row r="42" s="2" customFormat="1" ht="20" customHeight="1" spans="1:8">
      <c r="A42" s="5">
        <v>40</v>
      </c>
      <c r="B42" s="5" t="str">
        <f>"223220191127180621215876"</f>
        <v>223220191127180621215876</v>
      </c>
      <c r="C42" s="5" t="s">
        <v>9</v>
      </c>
      <c r="D42" s="5" t="s">
        <v>10</v>
      </c>
      <c r="E42" s="5" t="str">
        <f>"韩东东"</f>
        <v>韩东东</v>
      </c>
      <c r="F42" s="5" t="str">
        <f>"男"</f>
        <v>男</v>
      </c>
      <c r="G42" s="5" t="str">
        <f>"1993-08-16"</f>
        <v>1993-08-16</v>
      </c>
      <c r="H42" s="5" t="str">
        <f>"河北大学工商学院"</f>
        <v>河北大学工商学院</v>
      </c>
    </row>
    <row r="43" s="2" customFormat="1" ht="20" customHeight="1" spans="1:8">
      <c r="A43" s="5">
        <v>41</v>
      </c>
      <c r="B43" s="5" t="str">
        <f>"223220191127185756215928"</f>
        <v>223220191127185756215928</v>
      </c>
      <c r="C43" s="5" t="s">
        <v>9</v>
      </c>
      <c r="D43" s="5" t="s">
        <v>10</v>
      </c>
      <c r="E43" s="5" t="str">
        <f>"许慧"</f>
        <v>许慧</v>
      </c>
      <c r="F43" s="5" t="str">
        <f t="shared" ref="F43:F45" si="9">"女"</f>
        <v>女</v>
      </c>
      <c r="G43" s="5" t="str">
        <f>"1993-09-11"</f>
        <v>1993-09-11</v>
      </c>
      <c r="H43" s="5" t="str">
        <f>"三亚学院"</f>
        <v>三亚学院</v>
      </c>
    </row>
    <row r="44" s="2" customFormat="1" ht="20" customHeight="1" spans="1:8">
      <c r="A44" s="5">
        <v>42</v>
      </c>
      <c r="B44" s="5" t="str">
        <f>"223220191127224342216220"</f>
        <v>223220191127224342216220</v>
      </c>
      <c r="C44" s="5" t="s">
        <v>9</v>
      </c>
      <c r="D44" s="5" t="s">
        <v>10</v>
      </c>
      <c r="E44" s="5" t="str">
        <f>"吴玉华"</f>
        <v>吴玉华</v>
      </c>
      <c r="F44" s="5" t="str">
        <f t="shared" si="9"/>
        <v>女</v>
      </c>
      <c r="G44" s="5" t="str">
        <f>"1994-01-04"</f>
        <v>1994-01-04</v>
      </c>
      <c r="H44" s="5" t="str">
        <f>"三亚学院"</f>
        <v>三亚学院</v>
      </c>
    </row>
    <row r="45" s="2" customFormat="1" ht="20" customHeight="1" spans="1:8">
      <c r="A45" s="5">
        <v>43</v>
      </c>
      <c r="B45" s="5" t="str">
        <f>"223220191128103348216480"</f>
        <v>223220191128103348216480</v>
      </c>
      <c r="C45" s="5" t="s">
        <v>9</v>
      </c>
      <c r="D45" s="5" t="s">
        <v>10</v>
      </c>
      <c r="E45" s="5" t="str">
        <f>"黎桃梅"</f>
        <v>黎桃梅</v>
      </c>
      <c r="F45" s="5" t="str">
        <f t="shared" si="9"/>
        <v>女</v>
      </c>
      <c r="G45" s="5" t="str">
        <f>"1994-08-05"</f>
        <v>1994-08-05</v>
      </c>
      <c r="H45" s="5" t="str">
        <f>"长春理工大学"</f>
        <v>长春理工大学</v>
      </c>
    </row>
    <row r="46" s="2" customFormat="1" ht="20" customHeight="1" spans="1:8">
      <c r="A46" s="5">
        <v>44</v>
      </c>
      <c r="B46" s="5" t="str">
        <f>"223220191128120704216607"</f>
        <v>223220191128120704216607</v>
      </c>
      <c r="C46" s="5" t="s">
        <v>9</v>
      </c>
      <c r="D46" s="5" t="s">
        <v>10</v>
      </c>
      <c r="E46" s="5" t="str">
        <f>"王石"</f>
        <v>王石</v>
      </c>
      <c r="F46" s="5" t="str">
        <f>"男"</f>
        <v>男</v>
      </c>
      <c r="G46" s="5" t="str">
        <f>"1994-08-10"</f>
        <v>1994-08-10</v>
      </c>
      <c r="H46" s="5" t="str">
        <f>"贵州师范学院"</f>
        <v>贵州师范学院</v>
      </c>
    </row>
    <row r="47" s="2" customFormat="1" ht="20" customHeight="1" spans="1:8">
      <c r="A47" s="5">
        <v>45</v>
      </c>
      <c r="B47" s="5" t="str">
        <f>"223220191128195708217130"</f>
        <v>223220191128195708217130</v>
      </c>
      <c r="C47" s="5" t="s">
        <v>9</v>
      </c>
      <c r="D47" s="5" t="s">
        <v>10</v>
      </c>
      <c r="E47" s="5" t="str">
        <f>"黎美花"</f>
        <v>黎美花</v>
      </c>
      <c r="F47" s="5" t="str">
        <f t="shared" ref="F47:F50" si="10">"女"</f>
        <v>女</v>
      </c>
      <c r="G47" s="5" t="str">
        <f>"1991-05-12"</f>
        <v>1991-05-12</v>
      </c>
      <c r="H47" s="5" t="str">
        <f>"南华大学"</f>
        <v>南华大学</v>
      </c>
    </row>
    <row r="48" s="2" customFormat="1" ht="20" customHeight="1" spans="1:8">
      <c r="A48" s="5">
        <v>46</v>
      </c>
      <c r="B48" s="5" t="str">
        <f>"223220191128231727217270"</f>
        <v>223220191128231727217270</v>
      </c>
      <c r="C48" s="5" t="s">
        <v>9</v>
      </c>
      <c r="D48" s="5" t="s">
        <v>10</v>
      </c>
      <c r="E48" s="5" t="str">
        <f>"陈飞臻"</f>
        <v>陈飞臻</v>
      </c>
      <c r="F48" s="5" t="str">
        <f t="shared" si="10"/>
        <v>女</v>
      </c>
      <c r="G48" s="5" t="str">
        <f>"1993-08-06"</f>
        <v>1993-08-06</v>
      </c>
      <c r="H48" s="5" t="str">
        <f>"北方民族大学"</f>
        <v>北方民族大学</v>
      </c>
    </row>
    <row r="49" s="2" customFormat="1" ht="20" customHeight="1" spans="1:8">
      <c r="A49" s="5">
        <v>47</v>
      </c>
      <c r="B49" s="5" t="str">
        <f>"223220191128235118217289"</f>
        <v>223220191128235118217289</v>
      </c>
      <c r="C49" s="5" t="s">
        <v>9</v>
      </c>
      <c r="D49" s="5" t="s">
        <v>10</v>
      </c>
      <c r="E49" s="5" t="str">
        <f>"林之雯"</f>
        <v>林之雯</v>
      </c>
      <c r="F49" s="5" t="str">
        <f t="shared" si="10"/>
        <v>女</v>
      </c>
      <c r="G49" s="5" t="str">
        <f>"1997-08-25"</f>
        <v>1997-08-25</v>
      </c>
      <c r="H49" s="5" t="str">
        <f>"兰州大学"</f>
        <v>兰州大学</v>
      </c>
    </row>
    <row r="50" s="2" customFormat="1" ht="20" customHeight="1" spans="1:8">
      <c r="A50" s="5">
        <v>48</v>
      </c>
      <c r="B50" s="5" t="str">
        <f>"223220191129094128217372"</f>
        <v>223220191129094128217372</v>
      </c>
      <c r="C50" s="5" t="s">
        <v>9</v>
      </c>
      <c r="D50" s="5" t="s">
        <v>10</v>
      </c>
      <c r="E50" s="5" t="str">
        <f>"林雪"</f>
        <v>林雪</v>
      </c>
      <c r="F50" s="5" t="str">
        <f t="shared" si="10"/>
        <v>女</v>
      </c>
      <c r="G50" s="5" t="str">
        <f>"1990-10-26"</f>
        <v>1990-10-26</v>
      </c>
      <c r="H50" s="5" t="str">
        <f>"海南师范大学"</f>
        <v>海南师范大学</v>
      </c>
    </row>
    <row r="51" s="2" customFormat="1" ht="20" customHeight="1" spans="1:8">
      <c r="A51" s="5">
        <v>49</v>
      </c>
      <c r="B51" s="5" t="str">
        <f>"223220191129190041217743"</f>
        <v>223220191129190041217743</v>
      </c>
      <c r="C51" s="5" t="s">
        <v>9</v>
      </c>
      <c r="D51" s="5" t="s">
        <v>10</v>
      </c>
      <c r="E51" s="5" t="str">
        <f>"王豪杰"</f>
        <v>王豪杰</v>
      </c>
      <c r="F51" s="5" t="str">
        <f>"男"</f>
        <v>男</v>
      </c>
      <c r="G51" s="5" t="str">
        <f>"1992-01-22"</f>
        <v>1992-01-22</v>
      </c>
      <c r="H51" s="5" t="str">
        <f>"忻州师范学院"</f>
        <v>忻州师范学院</v>
      </c>
    </row>
    <row r="52" s="2" customFormat="1" ht="20" customHeight="1" spans="1:8">
      <c r="A52" s="5">
        <v>50</v>
      </c>
      <c r="B52" s="5" t="str">
        <f>"223220191130170544218188"</f>
        <v>223220191130170544218188</v>
      </c>
      <c r="C52" s="5" t="s">
        <v>9</v>
      </c>
      <c r="D52" s="5" t="s">
        <v>10</v>
      </c>
      <c r="E52" s="5" t="str">
        <f>"卢世娟"</f>
        <v>卢世娟</v>
      </c>
      <c r="F52" s="5" t="str">
        <f t="shared" ref="F52:F55" si="11">"女"</f>
        <v>女</v>
      </c>
      <c r="G52" s="5" t="str">
        <f>"1997-08-15"</f>
        <v>1997-08-15</v>
      </c>
      <c r="H52" s="5" t="str">
        <f>"海南师范大学"</f>
        <v>海南师范大学</v>
      </c>
    </row>
    <row r="53" s="2" customFormat="1" ht="20" customHeight="1" spans="1:8">
      <c r="A53" s="5">
        <v>51</v>
      </c>
      <c r="B53" s="5" t="str">
        <f>"223220191123101534210088"</f>
        <v>223220191123101534210088</v>
      </c>
      <c r="C53" s="5" t="s">
        <v>11</v>
      </c>
      <c r="D53" s="5" t="s">
        <v>12</v>
      </c>
      <c r="E53" s="5" t="str">
        <f>"陈明慧"</f>
        <v>陈明慧</v>
      </c>
      <c r="F53" s="5" t="str">
        <f t="shared" si="11"/>
        <v>女</v>
      </c>
      <c r="G53" s="5" t="str">
        <f>"1997-08-19"</f>
        <v>1997-08-19</v>
      </c>
      <c r="H53" s="5" t="str">
        <f>"电子科技大学成都学院"</f>
        <v>电子科技大学成都学院</v>
      </c>
    </row>
    <row r="54" s="2" customFormat="1" ht="20" customHeight="1" spans="1:8">
      <c r="A54" s="5">
        <v>52</v>
      </c>
      <c r="B54" s="5" t="str">
        <f>"223220191123140652210336"</f>
        <v>223220191123140652210336</v>
      </c>
      <c r="C54" s="5" t="s">
        <v>11</v>
      </c>
      <c r="D54" s="5" t="s">
        <v>12</v>
      </c>
      <c r="E54" s="5" t="str">
        <f>"许红豆"</f>
        <v>许红豆</v>
      </c>
      <c r="F54" s="5" t="str">
        <f t="shared" si="11"/>
        <v>女</v>
      </c>
      <c r="G54" s="5" t="str">
        <f>"1996-01-05"</f>
        <v>1996-01-05</v>
      </c>
      <c r="H54" s="5" t="str">
        <f>"湖南警察学院"</f>
        <v>湖南警察学院</v>
      </c>
    </row>
    <row r="55" s="2" customFormat="1" ht="20" customHeight="1" spans="1:8">
      <c r="A55" s="5">
        <v>53</v>
      </c>
      <c r="B55" s="5" t="str">
        <f>"223220191123193853210582"</f>
        <v>223220191123193853210582</v>
      </c>
      <c r="C55" s="5" t="s">
        <v>11</v>
      </c>
      <c r="D55" s="5" t="s">
        <v>12</v>
      </c>
      <c r="E55" s="5" t="str">
        <f>"陈蔓"</f>
        <v>陈蔓</v>
      </c>
      <c r="F55" s="5" t="str">
        <f t="shared" si="11"/>
        <v>女</v>
      </c>
      <c r="G55" s="5" t="str">
        <f>"1990-03-17"</f>
        <v>1990-03-17</v>
      </c>
      <c r="H55" s="5" t="str">
        <f>"江西科技学院"</f>
        <v>江西科技学院</v>
      </c>
    </row>
    <row r="56" s="2" customFormat="1" ht="20" customHeight="1" spans="1:8">
      <c r="A56" s="5">
        <v>54</v>
      </c>
      <c r="B56" s="5" t="str">
        <f>"223220191123195225210595"</f>
        <v>223220191123195225210595</v>
      </c>
      <c r="C56" s="5" t="s">
        <v>11</v>
      </c>
      <c r="D56" s="5" t="s">
        <v>12</v>
      </c>
      <c r="E56" s="5" t="str">
        <f>"薛道列"</f>
        <v>薛道列</v>
      </c>
      <c r="F56" s="5" t="str">
        <f t="shared" ref="F56:F59" si="12">"男"</f>
        <v>男</v>
      </c>
      <c r="G56" s="5" t="str">
        <f>"1994-05-22"</f>
        <v>1994-05-22</v>
      </c>
      <c r="H56" s="5" t="str">
        <f>"国家开放大学"</f>
        <v>国家开放大学</v>
      </c>
    </row>
    <row r="57" s="2" customFormat="1" ht="20" customHeight="1" spans="1:8">
      <c r="A57" s="5">
        <v>55</v>
      </c>
      <c r="B57" s="5" t="str">
        <f>"223220191124111115210885"</f>
        <v>223220191124111115210885</v>
      </c>
      <c r="C57" s="5" t="s">
        <v>11</v>
      </c>
      <c r="D57" s="5" t="s">
        <v>12</v>
      </c>
      <c r="E57" s="5" t="str">
        <f>"廖彩霞"</f>
        <v>廖彩霞</v>
      </c>
      <c r="F57" s="5" t="str">
        <f t="shared" ref="F57:F61" si="13">"女"</f>
        <v>女</v>
      </c>
      <c r="G57" s="5" t="str">
        <f>"1994-06-22"</f>
        <v>1994-06-22</v>
      </c>
      <c r="H57" s="5" t="str">
        <f>"长春工业大学人文信息学院"</f>
        <v>长春工业大学人文信息学院</v>
      </c>
    </row>
    <row r="58" s="2" customFormat="1" ht="20" customHeight="1" spans="1:8">
      <c r="A58" s="5">
        <v>56</v>
      </c>
      <c r="B58" s="5" t="str">
        <f>"223220191124122955210975"</f>
        <v>223220191124122955210975</v>
      </c>
      <c r="C58" s="5" t="s">
        <v>11</v>
      </c>
      <c r="D58" s="5" t="s">
        <v>12</v>
      </c>
      <c r="E58" s="5" t="str">
        <f>"张俊"</f>
        <v>张俊</v>
      </c>
      <c r="F58" s="5" t="str">
        <f t="shared" ref="F58:F62" si="14">"男"</f>
        <v>男</v>
      </c>
      <c r="G58" s="5" t="str">
        <f>"1994-06-01"</f>
        <v>1994-06-01</v>
      </c>
      <c r="H58" s="5" t="str">
        <f>"海口经济学院"</f>
        <v>海口经济学院</v>
      </c>
    </row>
    <row r="59" s="2" customFormat="1" ht="20" customHeight="1" spans="1:8">
      <c r="A59" s="5">
        <v>57</v>
      </c>
      <c r="B59" s="5" t="str">
        <f>"223220191124130747211007"</f>
        <v>223220191124130747211007</v>
      </c>
      <c r="C59" s="5" t="s">
        <v>11</v>
      </c>
      <c r="D59" s="5" t="s">
        <v>12</v>
      </c>
      <c r="E59" s="5" t="str">
        <f>"陈少黑"</f>
        <v>陈少黑</v>
      </c>
      <c r="F59" s="5" t="str">
        <f t="shared" si="14"/>
        <v>男</v>
      </c>
      <c r="G59" s="5" t="str">
        <f>"1992-04-16"</f>
        <v>1992-04-16</v>
      </c>
      <c r="H59" s="5" t="str">
        <f>"海南大学"</f>
        <v>海南大学</v>
      </c>
    </row>
    <row r="60" s="2" customFormat="1" ht="20" customHeight="1" spans="1:8">
      <c r="A60" s="5">
        <v>58</v>
      </c>
      <c r="B60" s="5" t="str">
        <f>"223220191124195238211295"</f>
        <v>223220191124195238211295</v>
      </c>
      <c r="C60" s="5" t="s">
        <v>11</v>
      </c>
      <c r="D60" s="5" t="s">
        <v>12</v>
      </c>
      <c r="E60" s="5" t="str">
        <f>"周增娜"</f>
        <v>周增娜</v>
      </c>
      <c r="F60" s="5" t="str">
        <f>"女"</f>
        <v>女</v>
      </c>
      <c r="G60" s="5" t="str">
        <f>"1996-09-28"</f>
        <v>1996-09-28</v>
      </c>
      <c r="H60" s="5" t="str">
        <f>"江西科技学院"</f>
        <v>江西科技学院</v>
      </c>
    </row>
    <row r="61" s="2" customFormat="1" ht="20" customHeight="1" spans="1:8">
      <c r="A61" s="5">
        <v>59</v>
      </c>
      <c r="B61" s="5" t="str">
        <f>"223220191125090225211592"</f>
        <v>223220191125090225211592</v>
      </c>
      <c r="C61" s="5" t="s">
        <v>11</v>
      </c>
      <c r="D61" s="5" t="s">
        <v>12</v>
      </c>
      <c r="E61" s="5" t="str">
        <f>"符丽丽"</f>
        <v>符丽丽</v>
      </c>
      <c r="F61" s="5" t="str">
        <f>"女"</f>
        <v>女</v>
      </c>
      <c r="G61" s="5" t="str">
        <f>"1993-08-26"</f>
        <v>1993-08-26</v>
      </c>
      <c r="H61" s="5" t="str">
        <f t="shared" ref="H61:H65" si="15">"三亚学院"</f>
        <v>三亚学院</v>
      </c>
    </row>
    <row r="62" s="2" customFormat="1" ht="20" customHeight="1" spans="1:8">
      <c r="A62" s="5">
        <v>60</v>
      </c>
      <c r="B62" s="5" t="str">
        <f>"223220191125091130211611"</f>
        <v>223220191125091130211611</v>
      </c>
      <c r="C62" s="5" t="s">
        <v>11</v>
      </c>
      <c r="D62" s="5" t="s">
        <v>12</v>
      </c>
      <c r="E62" s="5" t="str">
        <f>"吴幸森"</f>
        <v>吴幸森</v>
      </c>
      <c r="F62" s="5" t="str">
        <f>"男"</f>
        <v>男</v>
      </c>
      <c r="G62" s="5" t="str">
        <f>"1992-01-01"</f>
        <v>1992-01-01</v>
      </c>
      <c r="H62" s="5" t="str">
        <f>"海口经济学院"</f>
        <v>海口经济学院</v>
      </c>
    </row>
    <row r="63" s="2" customFormat="1" ht="20" customHeight="1" spans="1:8">
      <c r="A63" s="5">
        <v>61</v>
      </c>
      <c r="B63" s="5" t="str">
        <f>"223220191125093435211664"</f>
        <v>223220191125093435211664</v>
      </c>
      <c r="C63" s="5" t="s">
        <v>11</v>
      </c>
      <c r="D63" s="5" t="s">
        <v>12</v>
      </c>
      <c r="E63" s="5" t="str">
        <f>"许淑英"</f>
        <v>许淑英</v>
      </c>
      <c r="F63" s="5" t="str">
        <f t="shared" ref="F63:F69" si="16">"女"</f>
        <v>女</v>
      </c>
      <c r="G63" s="5" t="str">
        <f>"1996-09-08"</f>
        <v>1996-09-08</v>
      </c>
      <c r="H63" s="5" t="str">
        <f>"重庆师范大学"</f>
        <v>重庆师范大学</v>
      </c>
    </row>
    <row r="64" s="2" customFormat="1" ht="20" customHeight="1" spans="1:8">
      <c r="A64" s="5">
        <v>62</v>
      </c>
      <c r="B64" s="5" t="str">
        <f>"223220191125103802211794"</f>
        <v>223220191125103802211794</v>
      </c>
      <c r="C64" s="5" t="s">
        <v>11</v>
      </c>
      <c r="D64" s="5" t="s">
        <v>12</v>
      </c>
      <c r="E64" s="5" t="str">
        <f>"廖莎莎"</f>
        <v>廖莎莎</v>
      </c>
      <c r="F64" s="5" t="str">
        <f t="shared" si="16"/>
        <v>女</v>
      </c>
      <c r="G64" s="5" t="str">
        <f>"1991-10-02"</f>
        <v>1991-10-02</v>
      </c>
      <c r="H64" s="5" t="str">
        <f>"三亚学院"</f>
        <v>三亚学院</v>
      </c>
    </row>
    <row r="65" s="2" customFormat="1" ht="20" customHeight="1" spans="1:8">
      <c r="A65" s="5">
        <v>63</v>
      </c>
      <c r="B65" s="5" t="str">
        <f>"223220191125104708211807"</f>
        <v>223220191125104708211807</v>
      </c>
      <c r="C65" s="5" t="s">
        <v>11</v>
      </c>
      <c r="D65" s="5" t="s">
        <v>12</v>
      </c>
      <c r="E65" s="5" t="str">
        <f>"张子薇"</f>
        <v>张子薇</v>
      </c>
      <c r="F65" s="5" t="str">
        <f t="shared" si="16"/>
        <v>女</v>
      </c>
      <c r="G65" s="5" t="str">
        <f>"1995-07-14"</f>
        <v>1995-07-14</v>
      </c>
      <c r="H65" s="5" t="str">
        <f>"三亚学院"</f>
        <v>三亚学院</v>
      </c>
    </row>
    <row r="66" s="2" customFormat="1" ht="20" customHeight="1" spans="1:8">
      <c r="A66" s="5">
        <v>64</v>
      </c>
      <c r="B66" s="5" t="str">
        <f>"223220191125123749211999"</f>
        <v>223220191125123749211999</v>
      </c>
      <c r="C66" s="5" t="s">
        <v>11</v>
      </c>
      <c r="D66" s="5" t="s">
        <v>12</v>
      </c>
      <c r="E66" s="5" t="str">
        <f>"吴清新"</f>
        <v>吴清新</v>
      </c>
      <c r="F66" s="5" t="str">
        <f t="shared" si="16"/>
        <v>女</v>
      </c>
      <c r="G66" s="5" t="str">
        <f>"1993-04-30"</f>
        <v>1993-04-30</v>
      </c>
      <c r="H66" s="5" t="str">
        <f>"广州大学松田学院"</f>
        <v>广州大学松田学院</v>
      </c>
    </row>
    <row r="67" s="2" customFormat="1" ht="20" customHeight="1" spans="1:8">
      <c r="A67" s="5">
        <v>65</v>
      </c>
      <c r="B67" s="5" t="str">
        <f>"223220191125151957212196"</f>
        <v>223220191125151957212196</v>
      </c>
      <c r="C67" s="5" t="s">
        <v>11</v>
      </c>
      <c r="D67" s="5" t="s">
        <v>12</v>
      </c>
      <c r="E67" s="5" t="str">
        <f>"黎紫薇"</f>
        <v>黎紫薇</v>
      </c>
      <c r="F67" s="5" t="str">
        <f t="shared" si="16"/>
        <v>女</v>
      </c>
      <c r="G67" s="5" t="str">
        <f>"1994-10-06"</f>
        <v>1994-10-06</v>
      </c>
      <c r="H67" s="5" t="str">
        <f>"海南大学"</f>
        <v>海南大学</v>
      </c>
    </row>
    <row r="68" s="2" customFormat="1" ht="20" customHeight="1" spans="1:8">
      <c r="A68" s="5">
        <v>66</v>
      </c>
      <c r="B68" s="5" t="str">
        <f>"223220191125154225212245"</f>
        <v>223220191125154225212245</v>
      </c>
      <c r="C68" s="5" t="s">
        <v>11</v>
      </c>
      <c r="D68" s="5" t="s">
        <v>12</v>
      </c>
      <c r="E68" s="5" t="str">
        <f>"覃秋月"</f>
        <v>覃秋月</v>
      </c>
      <c r="F68" s="5" t="str">
        <f t="shared" si="16"/>
        <v>女</v>
      </c>
      <c r="G68" s="5" t="str">
        <f>"1995-07-31"</f>
        <v>1995-07-31</v>
      </c>
      <c r="H68" s="5" t="str">
        <f>"海南大学"</f>
        <v>海南大学</v>
      </c>
    </row>
    <row r="69" s="2" customFormat="1" ht="20" customHeight="1" spans="1:8">
      <c r="A69" s="5">
        <v>67</v>
      </c>
      <c r="B69" s="5" t="str">
        <f>"223220191125161021212291"</f>
        <v>223220191125161021212291</v>
      </c>
      <c r="C69" s="5" t="s">
        <v>11</v>
      </c>
      <c r="D69" s="5" t="s">
        <v>12</v>
      </c>
      <c r="E69" s="5" t="str">
        <f>"陶雅"</f>
        <v>陶雅</v>
      </c>
      <c r="F69" s="5" t="str">
        <f t="shared" si="16"/>
        <v>女</v>
      </c>
      <c r="G69" s="5" t="str">
        <f>"1993-11-27"</f>
        <v>1993-11-27</v>
      </c>
      <c r="H69" s="5" t="str">
        <f>"海口经济学院"</f>
        <v>海口经济学院</v>
      </c>
    </row>
    <row r="70" s="2" customFormat="1" ht="20" customHeight="1" spans="1:8">
      <c r="A70" s="5">
        <v>68</v>
      </c>
      <c r="B70" s="5" t="str">
        <f>"223220191125161326212297"</f>
        <v>223220191125161326212297</v>
      </c>
      <c r="C70" s="5" t="s">
        <v>11</v>
      </c>
      <c r="D70" s="5" t="s">
        <v>12</v>
      </c>
      <c r="E70" s="5" t="str">
        <f>"吴水济"</f>
        <v>吴水济</v>
      </c>
      <c r="F70" s="5" t="str">
        <f>"男"</f>
        <v>男</v>
      </c>
      <c r="G70" s="5" t="str">
        <f>"1993-03-17"</f>
        <v>1993-03-17</v>
      </c>
      <c r="H70" s="5" t="str">
        <f>"四川大学锦江学院"</f>
        <v>四川大学锦江学院</v>
      </c>
    </row>
    <row r="71" s="2" customFormat="1" ht="20" customHeight="1" spans="1:8">
      <c r="A71" s="5">
        <v>69</v>
      </c>
      <c r="B71" s="5" t="str">
        <f>"223220191125171611212370"</f>
        <v>223220191125171611212370</v>
      </c>
      <c r="C71" s="5" t="s">
        <v>11</v>
      </c>
      <c r="D71" s="5" t="s">
        <v>12</v>
      </c>
      <c r="E71" s="5" t="str">
        <f>"许华燕"</f>
        <v>许华燕</v>
      </c>
      <c r="F71" s="5" t="str">
        <f t="shared" ref="F71:F77" si="17">"女"</f>
        <v>女</v>
      </c>
      <c r="G71" s="5" t="str">
        <f>"1989-04-12"</f>
        <v>1989-04-12</v>
      </c>
      <c r="H71" s="5" t="str">
        <f>"吉林师范大学"</f>
        <v>吉林师范大学</v>
      </c>
    </row>
    <row r="72" s="2" customFormat="1" ht="20" customHeight="1" spans="1:8">
      <c r="A72" s="5">
        <v>70</v>
      </c>
      <c r="B72" s="5" t="str">
        <f>"223220191125205131212638"</f>
        <v>223220191125205131212638</v>
      </c>
      <c r="C72" s="5" t="s">
        <v>11</v>
      </c>
      <c r="D72" s="5" t="s">
        <v>12</v>
      </c>
      <c r="E72" s="5" t="str">
        <f>"羊毫"</f>
        <v>羊毫</v>
      </c>
      <c r="F72" s="5" t="str">
        <f>"男"</f>
        <v>男</v>
      </c>
      <c r="G72" s="5" t="str">
        <f>"1993-10-02"</f>
        <v>1993-10-02</v>
      </c>
      <c r="H72" s="5" t="str">
        <f>"江苏科技大学"</f>
        <v>江苏科技大学</v>
      </c>
    </row>
    <row r="73" s="2" customFormat="1" ht="20" customHeight="1" spans="1:8">
      <c r="A73" s="5">
        <v>71</v>
      </c>
      <c r="B73" s="5" t="str">
        <f>"223220191125215706212728"</f>
        <v>223220191125215706212728</v>
      </c>
      <c r="C73" s="5" t="s">
        <v>11</v>
      </c>
      <c r="D73" s="5" t="s">
        <v>12</v>
      </c>
      <c r="E73" s="5" t="str">
        <f>"陈春秀"</f>
        <v>陈春秀</v>
      </c>
      <c r="F73" s="5" t="str">
        <f t="shared" ref="F73:F77" si="18">"女"</f>
        <v>女</v>
      </c>
      <c r="G73" s="5" t="str">
        <f>"1995-01-09"</f>
        <v>1995-01-09</v>
      </c>
      <c r="H73" s="5" t="str">
        <f>"山东财经大学"</f>
        <v>山东财经大学</v>
      </c>
    </row>
    <row r="74" s="2" customFormat="1" ht="20" customHeight="1" spans="1:8">
      <c r="A74" s="5">
        <v>72</v>
      </c>
      <c r="B74" s="5" t="str">
        <f>"223220191126082035212886"</f>
        <v>223220191126082035212886</v>
      </c>
      <c r="C74" s="5" t="s">
        <v>11</v>
      </c>
      <c r="D74" s="5" t="s">
        <v>12</v>
      </c>
      <c r="E74" s="5" t="str">
        <f>"麦欣"</f>
        <v>麦欣</v>
      </c>
      <c r="F74" s="5" t="str">
        <f t="shared" si="18"/>
        <v>女</v>
      </c>
      <c r="G74" s="5" t="str">
        <f>"1996-08-05"</f>
        <v>1996-08-05</v>
      </c>
      <c r="H74" s="5" t="str">
        <f>"西安工业大学"</f>
        <v>西安工业大学</v>
      </c>
    </row>
    <row r="75" s="2" customFormat="1" ht="20" customHeight="1" spans="1:8">
      <c r="A75" s="5">
        <v>73</v>
      </c>
      <c r="B75" s="5" t="str">
        <f>"223220191126085623212980"</f>
        <v>223220191126085623212980</v>
      </c>
      <c r="C75" s="5" t="s">
        <v>11</v>
      </c>
      <c r="D75" s="5" t="s">
        <v>12</v>
      </c>
      <c r="E75" s="5" t="str">
        <f>"麦秋翠"</f>
        <v>麦秋翠</v>
      </c>
      <c r="F75" s="5" t="str">
        <f t="shared" si="18"/>
        <v>女</v>
      </c>
      <c r="G75" s="5" t="str">
        <f>"1992-11-03"</f>
        <v>1992-11-03</v>
      </c>
      <c r="H75" s="5" t="str">
        <f>"曲阜师范大学"</f>
        <v>曲阜师范大学</v>
      </c>
    </row>
    <row r="76" s="2" customFormat="1" ht="20" customHeight="1" spans="1:8">
      <c r="A76" s="5">
        <v>74</v>
      </c>
      <c r="B76" s="5" t="str">
        <f>"223220191126091513213050"</f>
        <v>223220191126091513213050</v>
      </c>
      <c r="C76" s="5" t="s">
        <v>11</v>
      </c>
      <c r="D76" s="5" t="s">
        <v>12</v>
      </c>
      <c r="E76" s="5" t="str">
        <f>"陈石彩"</f>
        <v>陈石彩</v>
      </c>
      <c r="F76" s="5" t="str">
        <f t="shared" si="18"/>
        <v>女</v>
      </c>
      <c r="G76" s="5" t="str">
        <f>"1988-10-04"</f>
        <v>1988-10-04</v>
      </c>
      <c r="H76" s="5" t="str">
        <f>"中央广播电视大学"</f>
        <v>中央广播电视大学</v>
      </c>
    </row>
    <row r="77" s="2" customFormat="1" ht="20" customHeight="1" spans="1:8">
      <c r="A77" s="5">
        <v>75</v>
      </c>
      <c r="B77" s="5" t="str">
        <f>"223220191126092312213086"</f>
        <v>223220191126092312213086</v>
      </c>
      <c r="C77" s="5" t="s">
        <v>11</v>
      </c>
      <c r="D77" s="5" t="s">
        <v>12</v>
      </c>
      <c r="E77" s="5" t="str">
        <f>"陈会清"</f>
        <v>陈会清</v>
      </c>
      <c r="F77" s="5" t="str">
        <f t="shared" si="18"/>
        <v>女</v>
      </c>
      <c r="G77" s="5" t="str">
        <f>"1998-02-01"</f>
        <v>1998-02-01</v>
      </c>
      <c r="H77" s="5" t="str">
        <f>"北华航天工业学院"</f>
        <v>北华航天工业学院</v>
      </c>
    </row>
    <row r="78" s="2" customFormat="1" ht="20" customHeight="1" spans="1:8">
      <c r="A78" s="5">
        <v>76</v>
      </c>
      <c r="B78" s="5" t="str">
        <f>"223220191126094822213209"</f>
        <v>223220191126094822213209</v>
      </c>
      <c r="C78" s="5" t="s">
        <v>11</v>
      </c>
      <c r="D78" s="5" t="s">
        <v>12</v>
      </c>
      <c r="E78" s="5" t="str">
        <f>"冯祥盛"</f>
        <v>冯祥盛</v>
      </c>
      <c r="F78" s="5" t="str">
        <f t="shared" ref="F78:F82" si="19">"男"</f>
        <v>男</v>
      </c>
      <c r="G78" s="5" t="str">
        <f>"1994-08-18"</f>
        <v>1994-08-18</v>
      </c>
      <c r="H78" s="5" t="str">
        <f>"甘肃政法学院"</f>
        <v>甘肃政法学院</v>
      </c>
    </row>
    <row r="79" s="2" customFormat="1" ht="20" customHeight="1" spans="1:8">
      <c r="A79" s="5">
        <v>77</v>
      </c>
      <c r="B79" s="5" t="str">
        <f>"223220191126152034214055"</f>
        <v>223220191126152034214055</v>
      </c>
      <c r="C79" s="5" t="s">
        <v>11</v>
      </c>
      <c r="D79" s="5" t="s">
        <v>12</v>
      </c>
      <c r="E79" s="5" t="str">
        <f>"马晓梅"</f>
        <v>马晓梅</v>
      </c>
      <c r="F79" s="5" t="str">
        <f>"女"</f>
        <v>女</v>
      </c>
      <c r="G79" s="5" t="str">
        <f>"1993-02-14"</f>
        <v>1993-02-14</v>
      </c>
      <c r="H79" s="5" t="str">
        <f>"广西民族师范学院"</f>
        <v>广西民族师范学院</v>
      </c>
    </row>
    <row r="80" s="2" customFormat="1" ht="20" customHeight="1" spans="1:8">
      <c r="A80" s="5">
        <v>78</v>
      </c>
      <c r="B80" s="5" t="str">
        <f>"223220191126154840214125"</f>
        <v>223220191126154840214125</v>
      </c>
      <c r="C80" s="5" t="s">
        <v>11</v>
      </c>
      <c r="D80" s="5" t="s">
        <v>12</v>
      </c>
      <c r="E80" s="5" t="str">
        <f>"黎明川"</f>
        <v>黎明川</v>
      </c>
      <c r="F80" s="5" t="str">
        <f>"男"</f>
        <v>男</v>
      </c>
      <c r="G80" s="5" t="str">
        <f>"1994-10-01"</f>
        <v>1994-10-01</v>
      </c>
      <c r="H80" s="5" t="str">
        <f>"吉林工程技术师范学院"</f>
        <v>吉林工程技术师范学院</v>
      </c>
    </row>
    <row r="81" s="2" customFormat="1" ht="20" customHeight="1" spans="1:8">
      <c r="A81" s="5">
        <v>79</v>
      </c>
      <c r="B81" s="5" t="str">
        <f>"223220191126213920214794"</f>
        <v>223220191126213920214794</v>
      </c>
      <c r="C81" s="5" t="s">
        <v>11</v>
      </c>
      <c r="D81" s="5" t="s">
        <v>12</v>
      </c>
      <c r="E81" s="5" t="str">
        <f>"林丽"</f>
        <v>林丽</v>
      </c>
      <c r="F81" s="5" t="str">
        <f>"女"</f>
        <v>女</v>
      </c>
      <c r="G81" s="5" t="str">
        <f>"1997-05-12"</f>
        <v>1997-05-12</v>
      </c>
      <c r="H81" s="5" t="str">
        <f>"南京邮电大学"</f>
        <v>南京邮电大学</v>
      </c>
    </row>
    <row r="82" s="2" customFormat="1" ht="20" customHeight="1" spans="1:8">
      <c r="A82" s="5">
        <v>80</v>
      </c>
      <c r="B82" s="5" t="str">
        <f>"223220191126215411214825"</f>
        <v>223220191126215411214825</v>
      </c>
      <c r="C82" s="5" t="s">
        <v>11</v>
      </c>
      <c r="D82" s="5" t="s">
        <v>12</v>
      </c>
      <c r="E82" s="5" t="str">
        <f>"刘帅帅"</f>
        <v>刘帅帅</v>
      </c>
      <c r="F82" s="5" t="str">
        <f>"男"</f>
        <v>男</v>
      </c>
      <c r="G82" s="5" t="str">
        <f>"1991-02-20"</f>
        <v>1991-02-20</v>
      </c>
      <c r="H82" s="5" t="str">
        <f>"海南大学"</f>
        <v>海南大学</v>
      </c>
    </row>
    <row r="83" s="2" customFormat="1" ht="20" customHeight="1" spans="1:8">
      <c r="A83" s="5">
        <v>81</v>
      </c>
      <c r="B83" s="5" t="str">
        <f>"223220191126223854214893"</f>
        <v>223220191126223854214893</v>
      </c>
      <c r="C83" s="5" t="s">
        <v>11</v>
      </c>
      <c r="D83" s="5" t="s">
        <v>12</v>
      </c>
      <c r="E83" s="5" t="str">
        <f>"李园春"</f>
        <v>李园春</v>
      </c>
      <c r="F83" s="5" t="str">
        <f t="shared" ref="F83:F88" si="20">"女"</f>
        <v>女</v>
      </c>
      <c r="G83" s="5" t="str">
        <f>"1986-07-17"</f>
        <v>1986-07-17</v>
      </c>
      <c r="H83" s="5" t="str">
        <f>"海南师范大学"</f>
        <v>海南师范大学</v>
      </c>
    </row>
    <row r="84" s="2" customFormat="1" ht="20" customHeight="1" spans="1:8">
      <c r="A84" s="5">
        <v>82</v>
      </c>
      <c r="B84" s="5" t="str">
        <f>"223220191126232507214937"</f>
        <v>223220191126232507214937</v>
      </c>
      <c r="C84" s="5" t="s">
        <v>11</v>
      </c>
      <c r="D84" s="5" t="s">
        <v>12</v>
      </c>
      <c r="E84" s="5" t="str">
        <f>"蔡小香"</f>
        <v>蔡小香</v>
      </c>
      <c r="F84" s="5" t="str">
        <f t="shared" si="20"/>
        <v>女</v>
      </c>
      <c r="G84" s="5" t="str">
        <f>"1997-09-07"</f>
        <v>1997-09-07</v>
      </c>
      <c r="H84" s="5" t="str">
        <f>"海南大学"</f>
        <v>海南大学</v>
      </c>
    </row>
    <row r="85" s="2" customFormat="1" ht="20" customHeight="1" spans="1:8">
      <c r="A85" s="5">
        <v>83</v>
      </c>
      <c r="B85" s="5" t="str">
        <f>"223220191127100209215171"</f>
        <v>223220191127100209215171</v>
      </c>
      <c r="C85" s="5" t="s">
        <v>11</v>
      </c>
      <c r="D85" s="5" t="s">
        <v>12</v>
      </c>
      <c r="E85" s="5" t="str">
        <f>"虞佳菲"</f>
        <v>虞佳菲</v>
      </c>
      <c r="F85" s="5" t="str">
        <f t="shared" si="20"/>
        <v>女</v>
      </c>
      <c r="G85" s="5" t="str">
        <f>"1993-10-22"</f>
        <v>1993-10-22</v>
      </c>
      <c r="H85" s="5" t="str">
        <f>"三亚学院"</f>
        <v>三亚学院</v>
      </c>
    </row>
    <row r="86" s="2" customFormat="1" ht="20" customHeight="1" spans="1:8">
      <c r="A86" s="5">
        <v>84</v>
      </c>
      <c r="B86" s="5" t="str">
        <f>"223220191127114828215349"</f>
        <v>223220191127114828215349</v>
      </c>
      <c r="C86" s="5" t="s">
        <v>11</v>
      </c>
      <c r="D86" s="5" t="s">
        <v>12</v>
      </c>
      <c r="E86" s="5" t="str">
        <f>"谭蓉"</f>
        <v>谭蓉</v>
      </c>
      <c r="F86" s="5" t="str">
        <f t="shared" si="20"/>
        <v>女</v>
      </c>
      <c r="G86" s="5" t="str">
        <f>"1997-03-19"</f>
        <v>1997-03-19</v>
      </c>
      <c r="H86" s="5" t="str">
        <f>"江苏师范大学"</f>
        <v>江苏师范大学</v>
      </c>
    </row>
    <row r="87" s="2" customFormat="1" ht="20" customHeight="1" spans="1:8">
      <c r="A87" s="5">
        <v>85</v>
      </c>
      <c r="B87" s="5" t="str">
        <f>"223220191127115920215367"</f>
        <v>223220191127115920215367</v>
      </c>
      <c r="C87" s="5" t="s">
        <v>11</v>
      </c>
      <c r="D87" s="5" t="s">
        <v>12</v>
      </c>
      <c r="E87" s="5" t="str">
        <f>"符江丹"</f>
        <v>符江丹</v>
      </c>
      <c r="F87" s="5" t="str">
        <f t="shared" si="20"/>
        <v>女</v>
      </c>
      <c r="G87" s="5" t="str">
        <f>"1997-07-24"</f>
        <v>1997-07-24</v>
      </c>
      <c r="H87" s="5" t="str">
        <f>"新乡学院"</f>
        <v>新乡学院</v>
      </c>
    </row>
    <row r="88" s="2" customFormat="1" ht="20" customHeight="1" spans="1:8">
      <c r="A88" s="5">
        <v>86</v>
      </c>
      <c r="B88" s="5" t="str">
        <f>"223220191127135135215508"</f>
        <v>223220191127135135215508</v>
      </c>
      <c r="C88" s="5" t="s">
        <v>11</v>
      </c>
      <c r="D88" s="5" t="s">
        <v>12</v>
      </c>
      <c r="E88" s="5" t="str">
        <f>"许春女"</f>
        <v>许春女</v>
      </c>
      <c r="F88" s="5" t="str">
        <f t="shared" si="20"/>
        <v>女</v>
      </c>
      <c r="G88" s="5" t="str">
        <f>"1991-04-03"</f>
        <v>1991-04-03</v>
      </c>
      <c r="H88" s="5" t="str">
        <f>"江西科技学院"</f>
        <v>江西科技学院</v>
      </c>
    </row>
    <row r="89" s="2" customFormat="1" ht="20" customHeight="1" spans="1:8">
      <c r="A89" s="5">
        <v>87</v>
      </c>
      <c r="B89" s="5" t="str">
        <f>"223220191127190411215931"</f>
        <v>223220191127190411215931</v>
      </c>
      <c r="C89" s="5" t="s">
        <v>11</v>
      </c>
      <c r="D89" s="5" t="s">
        <v>12</v>
      </c>
      <c r="E89" s="5" t="str">
        <f>"张珀虎"</f>
        <v>张珀虎</v>
      </c>
      <c r="F89" s="5" t="str">
        <f t="shared" ref="F89:F93" si="21">"男"</f>
        <v>男</v>
      </c>
      <c r="G89" s="5" t="str">
        <f>"1993-06-25"</f>
        <v>1993-06-25</v>
      </c>
      <c r="H89" s="5" t="str">
        <f>"三亚学院"</f>
        <v>三亚学院</v>
      </c>
    </row>
    <row r="90" s="2" customFormat="1" ht="20" customHeight="1" spans="1:8">
      <c r="A90" s="5">
        <v>88</v>
      </c>
      <c r="B90" s="5" t="str">
        <f>"223220191128091208216351"</f>
        <v>223220191128091208216351</v>
      </c>
      <c r="C90" s="5" t="s">
        <v>11</v>
      </c>
      <c r="D90" s="5" t="s">
        <v>12</v>
      </c>
      <c r="E90" s="5" t="str">
        <f>"符儒群"</f>
        <v>符儒群</v>
      </c>
      <c r="F90" s="5" t="str">
        <f t="shared" si="21"/>
        <v>男</v>
      </c>
      <c r="G90" s="5" t="str">
        <f>"1993-10-03"</f>
        <v>1993-10-03</v>
      </c>
      <c r="H90" s="5" t="str">
        <f>"河南师范大学"</f>
        <v>河南师范大学</v>
      </c>
    </row>
    <row r="91" s="2" customFormat="1" ht="20" customHeight="1" spans="1:8">
      <c r="A91" s="5">
        <v>89</v>
      </c>
      <c r="B91" s="5" t="str">
        <f>"223220191128112006216545"</f>
        <v>223220191128112006216545</v>
      </c>
      <c r="C91" s="5" t="s">
        <v>11</v>
      </c>
      <c r="D91" s="5" t="s">
        <v>12</v>
      </c>
      <c r="E91" s="5" t="str">
        <f>"邓梦丽"</f>
        <v>邓梦丽</v>
      </c>
      <c r="F91" s="5" t="str">
        <f t="shared" ref="F91:F95" si="22">"女"</f>
        <v>女</v>
      </c>
      <c r="G91" s="5" t="str">
        <f>"1992-01-01"</f>
        <v>1992-01-01</v>
      </c>
      <c r="H91" s="5" t="str">
        <f>"江西科技学院"</f>
        <v>江西科技学院</v>
      </c>
    </row>
    <row r="92" s="2" customFormat="1" ht="20" customHeight="1" spans="1:8">
      <c r="A92" s="5">
        <v>90</v>
      </c>
      <c r="B92" s="5" t="str">
        <f>"223220191128163830216966"</f>
        <v>223220191128163830216966</v>
      </c>
      <c r="C92" s="5" t="s">
        <v>11</v>
      </c>
      <c r="D92" s="5" t="s">
        <v>12</v>
      </c>
      <c r="E92" s="5" t="str">
        <f>"段佳丽"</f>
        <v>段佳丽</v>
      </c>
      <c r="F92" s="5" t="str">
        <f t="shared" si="22"/>
        <v>女</v>
      </c>
      <c r="G92" s="5" t="str">
        <f>"1995-07-17"</f>
        <v>1995-07-17</v>
      </c>
      <c r="H92" s="5" t="str">
        <f>"吉林师范大学"</f>
        <v>吉林师范大学</v>
      </c>
    </row>
    <row r="93" s="2" customFormat="1" ht="20" customHeight="1" spans="1:8">
      <c r="A93" s="5">
        <v>91</v>
      </c>
      <c r="B93" s="5" t="str">
        <f>"223220191128185057217070"</f>
        <v>223220191128185057217070</v>
      </c>
      <c r="C93" s="5" t="s">
        <v>11</v>
      </c>
      <c r="D93" s="5" t="s">
        <v>12</v>
      </c>
      <c r="E93" s="5" t="str">
        <f>"蒋传家"</f>
        <v>蒋传家</v>
      </c>
      <c r="F93" s="5" t="str">
        <f t="shared" ref="F93:F98" si="23">"男"</f>
        <v>男</v>
      </c>
      <c r="G93" s="5" t="str">
        <f>"1995-12-25"</f>
        <v>1995-12-25</v>
      </c>
      <c r="H93" s="5" t="str">
        <f>"三亚学院"</f>
        <v>三亚学院</v>
      </c>
    </row>
    <row r="94" s="2" customFormat="1" ht="20" customHeight="1" spans="1:8">
      <c r="A94" s="5">
        <v>92</v>
      </c>
      <c r="B94" s="5" t="str">
        <f>"223220191128190218217075"</f>
        <v>223220191128190218217075</v>
      </c>
      <c r="C94" s="5" t="s">
        <v>11</v>
      </c>
      <c r="D94" s="5" t="s">
        <v>12</v>
      </c>
      <c r="E94" s="5" t="str">
        <f>"陈增"</f>
        <v>陈增</v>
      </c>
      <c r="F94" s="5" t="str">
        <f t="shared" ref="F94:F97" si="24">"女"</f>
        <v>女</v>
      </c>
      <c r="G94" s="5" t="str">
        <f>"1986-10-11"</f>
        <v>1986-10-11</v>
      </c>
      <c r="H94" s="5" t="str">
        <f>"西南民族大学"</f>
        <v>西南民族大学</v>
      </c>
    </row>
    <row r="95" s="2" customFormat="1" ht="20" customHeight="1" spans="1:8">
      <c r="A95" s="5">
        <v>93</v>
      </c>
      <c r="B95" s="5" t="str">
        <f>"223220191128205344217164"</f>
        <v>223220191128205344217164</v>
      </c>
      <c r="C95" s="5" t="s">
        <v>11</v>
      </c>
      <c r="D95" s="5" t="s">
        <v>12</v>
      </c>
      <c r="E95" s="5" t="str">
        <f>"张秋菊"</f>
        <v>张秋菊</v>
      </c>
      <c r="F95" s="5" t="str">
        <f t="shared" si="24"/>
        <v>女</v>
      </c>
      <c r="G95" s="5" t="str">
        <f>"1987-06-10"</f>
        <v>1987-06-10</v>
      </c>
      <c r="H95" s="5" t="str">
        <f>"海南大学"</f>
        <v>海南大学</v>
      </c>
    </row>
    <row r="96" s="2" customFormat="1" ht="20" customHeight="1" spans="1:8">
      <c r="A96" s="5">
        <v>94</v>
      </c>
      <c r="B96" s="5" t="str">
        <f>"223220191128205421217165"</f>
        <v>223220191128205421217165</v>
      </c>
      <c r="C96" s="5" t="s">
        <v>11</v>
      </c>
      <c r="D96" s="5" t="s">
        <v>12</v>
      </c>
      <c r="E96" s="5" t="str">
        <f>"许馥显"</f>
        <v>许馥显</v>
      </c>
      <c r="F96" s="5" t="str">
        <f>"男"</f>
        <v>男</v>
      </c>
      <c r="G96" s="5" t="str">
        <f>"1997-05-24"</f>
        <v>1997-05-24</v>
      </c>
      <c r="H96" s="5" t="str">
        <f>"海南大学"</f>
        <v>海南大学</v>
      </c>
    </row>
    <row r="97" s="2" customFormat="1" ht="20" customHeight="1" spans="1:8">
      <c r="A97" s="5">
        <v>95</v>
      </c>
      <c r="B97" s="5" t="str">
        <f>"223220191129091643217353"</f>
        <v>223220191129091643217353</v>
      </c>
      <c r="C97" s="5" t="s">
        <v>11</v>
      </c>
      <c r="D97" s="5" t="s">
        <v>12</v>
      </c>
      <c r="E97" s="5" t="str">
        <f>"符有娉"</f>
        <v>符有娉</v>
      </c>
      <c r="F97" s="5" t="str">
        <f>"女"</f>
        <v>女</v>
      </c>
      <c r="G97" s="5" t="str">
        <f>"1991-09-07"</f>
        <v>1991-09-07</v>
      </c>
      <c r="H97" s="5" t="str">
        <f>"商丘学院"</f>
        <v>商丘学院</v>
      </c>
    </row>
    <row r="98" s="2" customFormat="1" ht="20" customHeight="1" spans="1:8">
      <c r="A98" s="5">
        <v>96</v>
      </c>
      <c r="B98" s="5" t="str">
        <f>"223220191129122134217499"</f>
        <v>223220191129122134217499</v>
      </c>
      <c r="C98" s="5" t="s">
        <v>11</v>
      </c>
      <c r="D98" s="5" t="s">
        <v>12</v>
      </c>
      <c r="E98" s="5" t="str">
        <f>"杨光"</f>
        <v>杨光</v>
      </c>
      <c r="F98" s="5" t="str">
        <f>"男"</f>
        <v>男</v>
      </c>
      <c r="G98" s="5" t="str">
        <f>"1988-08-19"</f>
        <v>1988-08-19</v>
      </c>
      <c r="H98" s="5" t="str">
        <f>"贵州大学科技学院"</f>
        <v>贵州大学科技学院</v>
      </c>
    </row>
    <row r="99" s="2" customFormat="1" ht="20" customHeight="1" spans="1:8">
      <c r="A99" s="5">
        <v>97</v>
      </c>
      <c r="B99" s="5" t="str">
        <f>"223220191129142638217562"</f>
        <v>223220191129142638217562</v>
      </c>
      <c r="C99" s="5" t="s">
        <v>11</v>
      </c>
      <c r="D99" s="5" t="s">
        <v>12</v>
      </c>
      <c r="E99" s="5" t="str">
        <f>"林洋"</f>
        <v>林洋</v>
      </c>
      <c r="F99" s="5" t="str">
        <f t="shared" ref="F99:F105" si="25">"女"</f>
        <v>女</v>
      </c>
      <c r="G99" s="5" t="str">
        <f>"1993-02-19"</f>
        <v>1993-02-19</v>
      </c>
      <c r="H99" s="5" t="str">
        <f>"三亚学院"</f>
        <v>三亚学院</v>
      </c>
    </row>
    <row r="100" s="2" customFormat="1" ht="20" customHeight="1" spans="1:8">
      <c r="A100" s="5">
        <v>98</v>
      </c>
      <c r="B100" s="5" t="str">
        <f>"223220191129180229217725"</f>
        <v>223220191129180229217725</v>
      </c>
      <c r="C100" s="5" t="s">
        <v>11</v>
      </c>
      <c r="D100" s="5" t="s">
        <v>12</v>
      </c>
      <c r="E100" s="5" t="str">
        <f>"朱芷彤"</f>
        <v>朱芷彤</v>
      </c>
      <c r="F100" s="5" t="str">
        <f t="shared" si="25"/>
        <v>女</v>
      </c>
      <c r="G100" s="5" t="str">
        <f>"1996-08-10"</f>
        <v>1996-08-10</v>
      </c>
      <c r="H100" s="5" t="str">
        <f>"电子科技大学中山学院"</f>
        <v>电子科技大学中山学院</v>
      </c>
    </row>
    <row r="101" s="2" customFormat="1" ht="20" customHeight="1" spans="1:8">
      <c r="A101" s="5">
        <v>99</v>
      </c>
      <c r="B101" s="5" t="str">
        <f>"223220191129220104217839"</f>
        <v>223220191129220104217839</v>
      </c>
      <c r="C101" s="5" t="s">
        <v>11</v>
      </c>
      <c r="D101" s="5" t="s">
        <v>12</v>
      </c>
      <c r="E101" s="5" t="str">
        <f>"王昶龄"</f>
        <v>王昶龄</v>
      </c>
      <c r="F101" s="5" t="str">
        <f t="shared" si="25"/>
        <v>女</v>
      </c>
      <c r="G101" s="5" t="str">
        <f>"1994-01-25"</f>
        <v>1994-01-25</v>
      </c>
      <c r="H101" s="5" t="str">
        <f>"安徽理工大学"</f>
        <v>安徽理工大学</v>
      </c>
    </row>
    <row r="102" s="2" customFormat="1" ht="20" customHeight="1" spans="1:8">
      <c r="A102" s="5">
        <v>100</v>
      </c>
      <c r="B102" s="5" t="str">
        <f>"223220191123084229209972"</f>
        <v>223220191123084229209972</v>
      </c>
      <c r="C102" s="5" t="s">
        <v>11</v>
      </c>
      <c r="D102" s="5" t="s">
        <v>13</v>
      </c>
      <c r="E102" s="5" t="str">
        <f>"符柯丽"</f>
        <v>符柯丽</v>
      </c>
      <c r="F102" s="5" t="str">
        <f t="shared" si="25"/>
        <v>女</v>
      </c>
      <c r="G102" s="5" t="str">
        <f>"1990-11-29"</f>
        <v>1990-11-29</v>
      </c>
      <c r="H102" s="5" t="str">
        <f>"黄河科技学院"</f>
        <v>黄河科技学院</v>
      </c>
    </row>
    <row r="103" s="2" customFormat="1" ht="20" customHeight="1" spans="1:8">
      <c r="A103" s="5">
        <v>101</v>
      </c>
      <c r="B103" s="5" t="str">
        <f>"223220191123110013210156"</f>
        <v>223220191123110013210156</v>
      </c>
      <c r="C103" s="5" t="s">
        <v>11</v>
      </c>
      <c r="D103" s="5" t="s">
        <v>13</v>
      </c>
      <c r="E103" s="5" t="str">
        <f>"胡海娟"</f>
        <v>胡海娟</v>
      </c>
      <c r="F103" s="5" t="str">
        <f t="shared" si="25"/>
        <v>女</v>
      </c>
      <c r="G103" s="5" t="str">
        <f>"1988-09-11"</f>
        <v>1988-09-11</v>
      </c>
      <c r="H103" s="5" t="str">
        <f>"衡水学院"</f>
        <v>衡水学院</v>
      </c>
    </row>
    <row r="104" s="2" customFormat="1" ht="20" customHeight="1" spans="1:8">
      <c r="A104" s="5">
        <v>102</v>
      </c>
      <c r="B104" s="5" t="str">
        <f>"223220191123141954210347"</f>
        <v>223220191123141954210347</v>
      </c>
      <c r="C104" s="5" t="s">
        <v>11</v>
      </c>
      <c r="D104" s="5" t="s">
        <v>13</v>
      </c>
      <c r="E104" s="5" t="str">
        <f>"刘杰"</f>
        <v>刘杰</v>
      </c>
      <c r="F104" s="5" t="str">
        <f t="shared" si="25"/>
        <v>女</v>
      </c>
      <c r="G104" s="5" t="str">
        <f>"1994-01-06"</f>
        <v>1994-01-06</v>
      </c>
      <c r="H104" s="5" t="str">
        <f>"三亚学院"</f>
        <v>三亚学院</v>
      </c>
    </row>
    <row r="105" s="2" customFormat="1" ht="20" customHeight="1" spans="1:8">
      <c r="A105" s="5">
        <v>103</v>
      </c>
      <c r="B105" s="5" t="str">
        <f>"223220191123231441210730"</f>
        <v>223220191123231441210730</v>
      </c>
      <c r="C105" s="5" t="s">
        <v>11</v>
      </c>
      <c r="D105" s="5" t="s">
        <v>13</v>
      </c>
      <c r="E105" s="5" t="str">
        <f>"董卜榕"</f>
        <v>董卜榕</v>
      </c>
      <c r="F105" s="5" t="str">
        <f t="shared" si="25"/>
        <v>女</v>
      </c>
      <c r="G105" s="5" t="str">
        <f>"1992-01-07"</f>
        <v>1992-01-07</v>
      </c>
      <c r="H105" s="5" t="str">
        <f>"三亚学院"</f>
        <v>三亚学院</v>
      </c>
    </row>
    <row r="106" s="2" customFormat="1" ht="20" customHeight="1" spans="1:8">
      <c r="A106" s="5">
        <v>104</v>
      </c>
      <c r="B106" s="5" t="str">
        <f>"223220191124015205210759"</f>
        <v>223220191124015205210759</v>
      </c>
      <c r="C106" s="5" t="s">
        <v>11</v>
      </c>
      <c r="D106" s="5" t="s">
        <v>13</v>
      </c>
      <c r="E106" s="5" t="str">
        <f>"陈其豪"</f>
        <v>陈其豪</v>
      </c>
      <c r="F106" s="5" t="str">
        <f t="shared" ref="F106:F111" si="26">"男"</f>
        <v>男</v>
      </c>
      <c r="G106" s="5" t="str">
        <f>"1993-05-22"</f>
        <v>1993-05-22</v>
      </c>
      <c r="H106" s="5" t="str">
        <f>"南昌职业学院"</f>
        <v>南昌职业学院</v>
      </c>
    </row>
    <row r="107" s="2" customFormat="1" ht="20" customHeight="1" spans="1:8">
      <c r="A107" s="5">
        <v>105</v>
      </c>
      <c r="B107" s="5" t="str">
        <f>"223220191124082828210771"</f>
        <v>223220191124082828210771</v>
      </c>
      <c r="C107" s="5" t="s">
        <v>11</v>
      </c>
      <c r="D107" s="5" t="s">
        <v>13</v>
      </c>
      <c r="E107" s="5" t="str">
        <f>"吴天凤"</f>
        <v>吴天凤</v>
      </c>
      <c r="F107" s="5" t="str">
        <f t="shared" ref="F107:F110" si="27">"女"</f>
        <v>女</v>
      </c>
      <c r="G107" s="5" t="str">
        <f>"1991-07-21"</f>
        <v>1991-07-21</v>
      </c>
      <c r="H107" s="5" t="str">
        <f>"海南大学"</f>
        <v>海南大学</v>
      </c>
    </row>
    <row r="108" s="2" customFormat="1" ht="20" customHeight="1" spans="1:8">
      <c r="A108" s="5">
        <v>106</v>
      </c>
      <c r="B108" s="5" t="str">
        <f>"223220191124113402210913"</f>
        <v>223220191124113402210913</v>
      </c>
      <c r="C108" s="5" t="s">
        <v>11</v>
      </c>
      <c r="D108" s="5" t="s">
        <v>13</v>
      </c>
      <c r="E108" s="5" t="str">
        <f>"王子梅"</f>
        <v>王子梅</v>
      </c>
      <c r="F108" s="5" t="str">
        <f t="shared" si="27"/>
        <v>女</v>
      </c>
      <c r="G108" s="5" t="str">
        <f>"1994-02-07"</f>
        <v>1994-02-07</v>
      </c>
      <c r="H108" s="5" t="str">
        <f t="shared" ref="H108:H113" si="28">"海口经济学院"</f>
        <v>海口经济学院</v>
      </c>
    </row>
    <row r="109" s="2" customFormat="1" ht="20" customHeight="1" spans="1:8">
      <c r="A109" s="5">
        <v>107</v>
      </c>
      <c r="B109" s="5" t="str">
        <f>"223220191124185826211249"</f>
        <v>223220191124185826211249</v>
      </c>
      <c r="C109" s="5" t="s">
        <v>11</v>
      </c>
      <c r="D109" s="5" t="s">
        <v>13</v>
      </c>
      <c r="E109" s="5" t="str">
        <f>"郭昌宝"</f>
        <v>郭昌宝</v>
      </c>
      <c r="F109" s="5" t="str">
        <f t="shared" ref="F109:F113" si="29">"男"</f>
        <v>男</v>
      </c>
      <c r="G109" s="5" t="str">
        <f>"1990-04-14"</f>
        <v>1990-04-14</v>
      </c>
      <c r="H109" s="5" t="str">
        <f>"华南理工大学艺术学院"</f>
        <v>华南理工大学艺术学院</v>
      </c>
    </row>
    <row r="110" s="2" customFormat="1" ht="20" customHeight="1" spans="1:8">
      <c r="A110" s="5">
        <v>108</v>
      </c>
      <c r="B110" s="5" t="str">
        <f>"223220191125092607211645"</f>
        <v>223220191125092607211645</v>
      </c>
      <c r="C110" s="5" t="s">
        <v>11</v>
      </c>
      <c r="D110" s="5" t="s">
        <v>13</v>
      </c>
      <c r="E110" s="5" t="str">
        <f>"黄欣"</f>
        <v>黄欣</v>
      </c>
      <c r="F110" s="5" t="str">
        <f t="shared" ref="F110:F117" si="30">"女"</f>
        <v>女</v>
      </c>
      <c r="G110" s="5" t="str">
        <f>"1994-09-06"</f>
        <v>1994-09-06</v>
      </c>
      <c r="H110" s="5" t="str">
        <f t="shared" ref="H110:H115" si="31">"海口经济学院"</f>
        <v>海口经济学院</v>
      </c>
    </row>
    <row r="111" s="2" customFormat="1" ht="20" customHeight="1" spans="1:8">
      <c r="A111" s="5">
        <v>109</v>
      </c>
      <c r="B111" s="5" t="str">
        <f>"223220191126113853213602"</f>
        <v>223220191126113853213602</v>
      </c>
      <c r="C111" s="5" t="s">
        <v>11</v>
      </c>
      <c r="D111" s="5" t="s">
        <v>13</v>
      </c>
      <c r="E111" s="5" t="str">
        <f>"尹国松"</f>
        <v>尹国松</v>
      </c>
      <c r="F111" s="5" t="str">
        <f>"男"</f>
        <v>男</v>
      </c>
      <c r="G111" s="5" t="str">
        <f>"1990-08-28"</f>
        <v>1990-08-28</v>
      </c>
      <c r="H111" s="5" t="str">
        <f>"哈尔滨师范大学"</f>
        <v>哈尔滨师范大学</v>
      </c>
    </row>
    <row r="112" s="2" customFormat="1" ht="20" customHeight="1" spans="1:8">
      <c r="A112" s="5">
        <v>110</v>
      </c>
      <c r="B112" s="5" t="str">
        <f>"223220191126130102213791"</f>
        <v>223220191126130102213791</v>
      </c>
      <c r="C112" s="5" t="s">
        <v>11</v>
      </c>
      <c r="D112" s="5" t="s">
        <v>13</v>
      </c>
      <c r="E112" s="5" t="str">
        <f>"李平"</f>
        <v>李平</v>
      </c>
      <c r="F112" s="5" t="str">
        <f t="shared" ref="F112:F117" si="32">"女"</f>
        <v>女</v>
      </c>
      <c r="G112" s="5" t="str">
        <f>"1994-01-18"</f>
        <v>1994-01-18</v>
      </c>
      <c r="H112" s="5" t="str">
        <f>"井冈山大学"</f>
        <v>井冈山大学</v>
      </c>
    </row>
    <row r="113" s="2" customFormat="1" ht="20" customHeight="1" spans="1:8">
      <c r="A113" s="5">
        <v>111</v>
      </c>
      <c r="B113" s="5" t="str">
        <f>"223220191126160013214145"</f>
        <v>223220191126160013214145</v>
      </c>
      <c r="C113" s="5" t="s">
        <v>11</v>
      </c>
      <c r="D113" s="5" t="s">
        <v>13</v>
      </c>
      <c r="E113" s="5" t="str">
        <f>"吕锦宏"</f>
        <v>吕锦宏</v>
      </c>
      <c r="F113" s="5" t="str">
        <f>"男"</f>
        <v>男</v>
      </c>
      <c r="G113" s="5" t="str">
        <f>"1991-06-05"</f>
        <v>1991-06-05</v>
      </c>
      <c r="H113" s="5" t="str">
        <f>"海口经济学院"</f>
        <v>海口经济学院</v>
      </c>
    </row>
    <row r="114" s="2" customFormat="1" ht="20" customHeight="1" spans="1:8">
      <c r="A114" s="5">
        <v>112</v>
      </c>
      <c r="B114" s="5" t="str">
        <f>"223220191127162559215732"</f>
        <v>223220191127162559215732</v>
      </c>
      <c r="C114" s="5" t="s">
        <v>11</v>
      </c>
      <c r="D114" s="5" t="s">
        <v>13</v>
      </c>
      <c r="E114" s="5" t="str">
        <f>"曾梦琴"</f>
        <v>曾梦琴</v>
      </c>
      <c r="F114" s="5" t="str">
        <f>"女"</f>
        <v>女</v>
      </c>
      <c r="G114" s="5" t="str">
        <f>"1995-07-21"</f>
        <v>1995-07-21</v>
      </c>
      <c r="H114" s="5" t="str">
        <f>"广西民族师范学院"</f>
        <v>广西民族师范学院</v>
      </c>
    </row>
    <row r="115" s="2" customFormat="1" ht="20" customHeight="1" spans="1:8">
      <c r="A115" s="5">
        <v>113</v>
      </c>
      <c r="B115" s="5" t="str">
        <f>"223220191127193950215973"</f>
        <v>223220191127193950215973</v>
      </c>
      <c r="C115" s="5" t="s">
        <v>11</v>
      </c>
      <c r="D115" s="5" t="s">
        <v>13</v>
      </c>
      <c r="E115" s="5" t="str">
        <f>"万周江"</f>
        <v>万周江</v>
      </c>
      <c r="F115" s="5" t="str">
        <f>"女"</f>
        <v>女</v>
      </c>
      <c r="G115" s="5" t="str">
        <f>"1994-12-15"</f>
        <v>1994-12-15</v>
      </c>
      <c r="H115" s="5" t="str">
        <f>"海口经济学院"</f>
        <v>海口经济学院</v>
      </c>
    </row>
    <row r="116" s="2" customFormat="1" ht="20" customHeight="1" spans="1:8">
      <c r="A116" s="5">
        <v>114</v>
      </c>
      <c r="B116" s="5" t="str">
        <f>"223220191128105650216513"</f>
        <v>223220191128105650216513</v>
      </c>
      <c r="C116" s="5" t="s">
        <v>11</v>
      </c>
      <c r="D116" s="5" t="s">
        <v>13</v>
      </c>
      <c r="E116" s="5" t="str">
        <f>"宋卓龄"</f>
        <v>宋卓龄</v>
      </c>
      <c r="F116" s="5" t="str">
        <f>"女"</f>
        <v>女</v>
      </c>
      <c r="G116" s="5" t="str">
        <f>"1992-02-21"</f>
        <v>1992-02-21</v>
      </c>
      <c r="H116" s="5" t="str">
        <f>"东北大学"</f>
        <v>东北大学</v>
      </c>
    </row>
    <row r="117" s="2" customFormat="1" ht="20" customHeight="1" spans="1:8">
      <c r="A117" s="5">
        <v>115</v>
      </c>
      <c r="B117" s="5" t="str">
        <f>"223220191129163955217664"</f>
        <v>223220191129163955217664</v>
      </c>
      <c r="C117" s="5" t="s">
        <v>11</v>
      </c>
      <c r="D117" s="5" t="s">
        <v>13</v>
      </c>
      <c r="E117" s="5" t="str">
        <f>"陈祺慧"</f>
        <v>陈祺慧</v>
      </c>
      <c r="F117" s="5" t="str">
        <f>"女"</f>
        <v>女</v>
      </c>
      <c r="G117" s="5" t="str">
        <f>"1995-09-09"</f>
        <v>1995-09-09</v>
      </c>
      <c r="H117" s="5" t="str">
        <f>"海南热带海洋学院"</f>
        <v>海南热带海洋学院</v>
      </c>
    </row>
    <row r="118" s="2" customFormat="1" ht="20" customHeight="1" spans="1:8">
      <c r="A118" s="5">
        <v>116</v>
      </c>
      <c r="B118" s="5" t="str">
        <f>"223220191123190703210561"</f>
        <v>223220191123190703210561</v>
      </c>
      <c r="C118" s="5" t="s">
        <v>14</v>
      </c>
      <c r="D118" s="5" t="s">
        <v>15</v>
      </c>
      <c r="E118" s="5" t="str">
        <f>"梁如士"</f>
        <v>梁如士</v>
      </c>
      <c r="F118" s="5" t="str">
        <f t="shared" ref="F118:F122" si="33">"男"</f>
        <v>男</v>
      </c>
      <c r="G118" s="5" t="str">
        <f>"1991-05-23"</f>
        <v>1991-05-23</v>
      </c>
      <c r="H118" s="5" t="str">
        <f>"内蒙古科技大学"</f>
        <v>内蒙古科技大学</v>
      </c>
    </row>
    <row r="119" s="2" customFormat="1" ht="20" customHeight="1" spans="1:8">
      <c r="A119" s="5">
        <v>117</v>
      </c>
      <c r="B119" s="5" t="str">
        <f>"223220191123221327210694"</f>
        <v>223220191123221327210694</v>
      </c>
      <c r="C119" s="5" t="s">
        <v>14</v>
      </c>
      <c r="D119" s="5" t="s">
        <v>15</v>
      </c>
      <c r="E119" s="5" t="str">
        <f>"吴文章"</f>
        <v>吴文章</v>
      </c>
      <c r="F119" s="5" t="str">
        <f t="shared" si="33"/>
        <v>男</v>
      </c>
      <c r="G119" s="5" t="str">
        <f>"1995-06-07"</f>
        <v>1995-06-07</v>
      </c>
      <c r="H119" s="5" t="str">
        <f>"三亚学院"</f>
        <v>三亚学院</v>
      </c>
    </row>
    <row r="120" s="2" customFormat="1" ht="20" customHeight="1" spans="1:8">
      <c r="A120" s="5">
        <v>118</v>
      </c>
      <c r="B120" s="5" t="str">
        <f>"223220191124095155210811"</f>
        <v>223220191124095155210811</v>
      </c>
      <c r="C120" s="5" t="s">
        <v>14</v>
      </c>
      <c r="D120" s="5" t="s">
        <v>15</v>
      </c>
      <c r="E120" s="5" t="str">
        <f>"梁卿"</f>
        <v>梁卿</v>
      </c>
      <c r="F120" s="5" t="str">
        <f t="shared" ref="F120:F123" si="34">"女"</f>
        <v>女</v>
      </c>
      <c r="G120" s="5" t="str">
        <f>"1991-04-21"</f>
        <v>1991-04-21</v>
      </c>
      <c r="H120" s="5" t="str">
        <f>"海南大学"</f>
        <v>海南大学</v>
      </c>
    </row>
    <row r="121" s="2" customFormat="1" ht="20" customHeight="1" spans="1:8">
      <c r="A121" s="5">
        <v>119</v>
      </c>
      <c r="B121" s="5" t="str">
        <f>"223220191124141909211061"</f>
        <v>223220191124141909211061</v>
      </c>
      <c r="C121" s="5" t="s">
        <v>14</v>
      </c>
      <c r="D121" s="5" t="s">
        <v>15</v>
      </c>
      <c r="E121" s="5" t="str">
        <f>"谢柳蓉"</f>
        <v>谢柳蓉</v>
      </c>
      <c r="F121" s="5" t="str">
        <f t="shared" si="34"/>
        <v>女</v>
      </c>
      <c r="G121" s="5" t="str">
        <f>"1998-02-19"</f>
        <v>1998-02-19</v>
      </c>
      <c r="H121" s="5" t="str">
        <f>"北方民族大学"</f>
        <v>北方民族大学</v>
      </c>
    </row>
    <row r="122" s="2" customFormat="1" ht="20" customHeight="1" spans="1:8">
      <c r="A122" s="5">
        <v>120</v>
      </c>
      <c r="B122" s="5" t="str">
        <f>"223220191124165130211167"</f>
        <v>223220191124165130211167</v>
      </c>
      <c r="C122" s="5" t="s">
        <v>14</v>
      </c>
      <c r="D122" s="5" t="s">
        <v>15</v>
      </c>
      <c r="E122" s="5" t="str">
        <f>"顾逢杰"</f>
        <v>顾逢杰</v>
      </c>
      <c r="F122" s="5" t="str">
        <f t="shared" ref="F122:F126" si="35">"男"</f>
        <v>男</v>
      </c>
      <c r="G122" s="5" t="str">
        <f>"1991-05-16"</f>
        <v>1991-05-16</v>
      </c>
      <c r="H122" s="5" t="str">
        <f>"太原工业学院"</f>
        <v>太原工业学院</v>
      </c>
    </row>
    <row r="123" s="2" customFormat="1" ht="20" customHeight="1" spans="1:8">
      <c r="A123" s="5">
        <v>121</v>
      </c>
      <c r="B123" s="5" t="str">
        <f>"223220191124203916211341"</f>
        <v>223220191124203916211341</v>
      </c>
      <c r="C123" s="5" t="s">
        <v>14</v>
      </c>
      <c r="D123" s="5" t="s">
        <v>15</v>
      </c>
      <c r="E123" s="5" t="str">
        <f>"王虹"</f>
        <v>王虹</v>
      </c>
      <c r="F123" s="5" t="str">
        <f t="shared" ref="F123:F129" si="36">"女"</f>
        <v>女</v>
      </c>
      <c r="G123" s="5" t="str">
        <f>"1993-11-18"</f>
        <v>1993-11-18</v>
      </c>
      <c r="H123" s="5" t="str">
        <f>"南昌大学科学技术学院"</f>
        <v>南昌大学科学技术学院</v>
      </c>
    </row>
    <row r="124" s="2" customFormat="1" ht="20" customHeight="1" spans="1:8">
      <c r="A124" s="5">
        <v>122</v>
      </c>
      <c r="B124" s="5" t="str">
        <f>"223220191125083419211536"</f>
        <v>223220191125083419211536</v>
      </c>
      <c r="C124" s="5" t="s">
        <v>14</v>
      </c>
      <c r="D124" s="5" t="s">
        <v>15</v>
      </c>
      <c r="E124" s="5" t="str">
        <f>"邓一凡"</f>
        <v>邓一凡</v>
      </c>
      <c r="F124" s="5" t="str">
        <f>"男"</f>
        <v>男</v>
      </c>
      <c r="G124" s="5" t="str">
        <f>"1997-02-20"</f>
        <v>1997-02-20</v>
      </c>
      <c r="H124" s="5" t="str">
        <f>"北京科技大学天津学院"</f>
        <v>北京科技大学天津学院</v>
      </c>
    </row>
    <row r="125" s="2" customFormat="1" ht="20" customHeight="1" spans="1:8">
      <c r="A125" s="5">
        <v>123</v>
      </c>
      <c r="B125" s="5" t="str">
        <f>"223220191125100715211739"</f>
        <v>223220191125100715211739</v>
      </c>
      <c r="C125" s="5" t="s">
        <v>14</v>
      </c>
      <c r="D125" s="5" t="s">
        <v>15</v>
      </c>
      <c r="E125" s="5" t="str">
        <f>"王太华"</f>
        <v>王太华</v>
      </c>
      <c r="F125" s="5" t="str">
        <f t="shared" ref="F125:F129" si="37">"女"</f>
        <v>女</v>
      </c>
      <c r="G125" s="5" t="str">
        <f>"1990-10-11"</f>
        <v>1990-10-11</v>
      </c>
      <c r="H125" s="5" t="str">
        <f>"福建警察学院"</f>
        <v>福建警察学院</v>
      </c>
    </row>
    <row r="126" s="2" customFormat="1" ht="20" customHeight="1" spans="1:8">
      <c r="A126" s="5">
        <v>124</v>
      </c>
      <c r="B126" s="5" t="str">
        <f>"223220191125160952212289"</f>
        <v>223220191125160952212289</v>
      </c>
      <c r="C126" s="5" t="s">
        <v>14</v>
      </c>
      <c r="D126" s="5" t="s">
        <v>15</v>
      </c>
      <c r="E126" s="5" t="str">
        <f>"林严"</f>
        <v>林严</v>
      </c>
      <c r="F126" s="5" t="str">
        <f>"男"</f>
        <v>男</v>
      </c>
      <c r="G126" s="5" t="str">
        <f>"1990-04-29"</f>
        <v>1990-04-29</v>
      </c>
      <c r="H126" s="5" t="str">
        <f>"西南大学育才学院"</f>
        <v>西南大学育才学院</v>
      </c>
    </row>
    <row r="127" s="2" customFormat="1" ht="20" customHeight="1" spans="1:8">
      <c r="A127" s="5">
        <v>125</v>
      </c>
      <c r="B127" s="5" t="str">
        <f>"223220191125231048212800"</f>
        <v>223220191125231048212800</v>
      </c>
      <c r="C127" s="5" t="s">
        <v>14</v>
      </c>
      <c r="D127" s="5" t="s">
        <v>15</v>
      </c>
      <c r="E127" s="5" t="str">
        <f>"李冬艳"</f>
        <v>李冬艳</v>
      </c>
      <c r="F127" s="5" t="str">
        <f>"女"</f>
        <v>女</v>
      </c>
      <c r="G127" s="5" t="str">
        <f>"1996-09-03"</f>
        <v>1996-09-03</v>
      </c>
      <c r="H127" s="5" t="str">
        <f>"南京师范大学泰州学院"</f>
        <v>南京师范大学泰州学院</v>
      </c>
    </row>
    <row r="128" s="2" customFormat="1" ht="20" customHeight="1" spans="1:8">
      <c r="A128" s="5">
        <v>126</v>
      </c>
      <c r="B128" s="5" t="str">
        <f>"223220191126021114212832"</f>
        <v>223220191126021114212832</v>
      </c>
      <c r="C128" s="5" t="s">
        <v>14</v>
      </c>
      <c r="D128" s="5" t="s">
        <v>15</v>
      </c>
      <c r="E128" s="5" t="str">
        <f>"黎俏芳"</f>
        <v>黎俏芳</v>
      </c>
      <c r="F128" s="5" t="str">
        <f>"女"</f>
        <v>女</v>
      </c>
      <c r="G128" s="5" t="str">
        <f>"1996-08-15"</f>
        <v>1996-08-15</v>
      </c>
      <c r="H128" s="5" t="str">
        <f>"河南财经政法大学"</f>
        <v>河南财经政法大学</v>
      </c>
    </row>
    <row r="129" s="2" customFormat="1" ht="20" customHeight="1" spans="1:8">
      <c r="A129" s="5">
        <v>127</v>
      </c>
      <c r="B129" s="5" t="str">
        <f>"223220191126143927213953"</f>
        <v>223220191126143927213953</v>
      </c>
      <c r="C129" s="5" t="s">
        <v>14</v>
      </c>
      <c r="D129" s="5" t="s">
        <v>15</v>
      </c>
      <c r="E129" s="5" t="str">
        <f>"符志甄"</f>
        <v>符志甄</v>
      </c>
      <c r="F129" s="5" t="str">
        <f>"女"</f>
        <v>女</v>
      </c>
      <c r="G129" s="5" t="str">
        <f>"1999-09-30"</f>
        <v>1999-09-30</v>
      </c>
      <c r="H129" s="5" t="str">
        <f>"三亚学院"</f>
        <v>三亚学院</v>
      </c>
    </row>
    <row r="130" s="2" customFormat="1" ht="20" customHeight="1" spans="1:8">
      <c r="A130" s="5">
        <v>128</v>
      </c>
      <c r="B130" s="5" t="str">
        <f>"223220191126182726214469"</f>
        <v>223220191126182726214469</v>
      </c>
      <c r="C130" s="5" t="s">
        <v>14</v>
      </c>
      <c r="D130" s="5" t="s">
        <v>15</v>
      </c>
      <c r="E130" s="5" t="str">
        <f>"曾维硕"</f>
        <v>曾维硕</v>
      </c>
      <c r="F130" s="5" t="str">
        <f>"男"</f>
        <v>男</v>
      </c>
      <c r="G130" s="5" t="str">
        <f>"1995-08-16"</f>
        <v>1995-08-16</v>
      </c>
      <c r="H130" s="5" t="str">
        <f>"海南师范大学"</f>
        <v>海南师范大学</v>
      </c>
    </row>
    <row r="131" s="2" customFormat="1" ht="20" customHeight="1" spans="1:8">
      <c r="A131" s="5">
        <v>129</v>
      </c>
      <c r="B131" s="5" t="str">
        <f>"223220191126194145214577"</f>
        <v>223220191126194145214577</v>
      </c>
      <c r="C131" s="5" t="s">
        <v>14</v>
      </c>
      <c r="D131" s="5" t="s">
        <v>15</v>
      </c>
      <c r="E131" s="5" t="str">
        <f>"杨滨涯"</f>
        <v>杨滨涯</v>
      </c>
      <c r="F131" s="5" t="str">
        <f t="shared" ref="F131:F134" si="38">"女"</f>
        <v>女</v>
      </c>
      <c r="G131" s="5" t="str">
        <f>"1994-04-21"</f>
        <v>1994-04-21</v>
      </c>
      <c r="H131" s="5" t="str">
        <f>"湖北警官学院"</f>
        <v>湖北警官学院</v>
      </c>
    </row>
    <row r="132" s="2" customFormat="1" ht="20" customHeight="1" spans="1:8">
      <c r="A132" s="5">
        <v>130</v>
      </c>
      <c r="B132" s="5" t="str">
        <f>"223220191126213439214784"</f>
        <v>223220191126213439214784</v>
      </c>
      <c r="C132" s="5" t="s">
        <v>14</v>
      </c>
      <c r="D132" s="5" t="s">
        <v>15</v>
      </c>
      <c r="E132" s="5" t="str">
        <f>"何才丁"</f>
        <v>何才丁</v>
      </c>
      <c r="F132" s="5" t="str">
        <f t="shared" si="38"/>
        <v>女</v>
      </c>
      <c r="G132" s="5" t="str">
        <f>"1995-10-15"</f>
        <v>1995-10-15</v>
      </c>
      <c r="H132" s="5" t="str">
        <f>"江西财经大学现代经济管理学院"</f>
        <v>江西财经大学现代经济管理学院</v>
      </c>
    </row>
    <row r="133" s="2" customFormat="1" ht="20" customHeight="1" spans="1:8">
      <c r="A133" s="5">
        <v>131</v>
      </c>
      <c r="B133" s="5" t="str">
        <f>"223220191127102200215200"</f>
        <v>223220191127102200215200</v>
      </c>
      <c r="C133" s="5" t="s">
        <v>14</v>
      </c>
      <c r="D133" s="5" t="s">
        <v>15</v>
      </c>
      <c r="E133" s="5" t="str">
        <f>"叶仁芬"</f>
        <v>叶仁芬</v>
      </c>
      <c r="F133" s="5" t="str">
        <f t="shared" si="38"/>
        <v>女</v>
      </c>
      <c r="G133" s="5" t="str">
        <f>"1996-03-04"</f>
        <v>1996-03-04</v>
      </c>
      <c r="H133" s="5" t="str">
        <f>"湖北警官学院"</f>
        <v>湖北警官学院</v>
      </c>
    </row>
    <row r="134" s="2" customFormat="1" ht="20" customHeight="1" spans="1:8">
      <c r="A134" s="5">
        <v>132</v>
      </c>
      <c r="B134" s="5" t="str">
        <f>"223220191127104705215241"</f>
        <v>223220191127104705215241</v>
      </c>
      <c r="C134" s="5" t="s">
        <v>14</v>
      </c>
      <c r="D134" s="5" t="s">
        <v>15</v>
      </c>
      <c r="E134" s="5" t="str">
        <f>"羊学女"</f>
        <v>羊学女</v>
      </c>
      <c r="F134" s="5" t="str">
        <f t="shared" si="38"/>
        <v>女</v>
      </c>
      <c r="G134" s="5" t="str">
        <f>"1990-05-11"</f>
        <v>1990-05-11</v>
      </c>
      <c r="H134" s="5" t="str">
        <f>"长春工业大学人文信息学院"</f>
        <v>长春工业大学人文信息学院</v>
      </c>
    </row>
    <row r="135" s="2" customFormat="1" ht="20" customHeight="1" spans="1:8">
      <c r="A135" s="5">
        <v>133</v>
      </c>
      <c r="B135" s="5" t="str">
        <f>"223220191127180100215872"</f>
        <v>223220191127180100215872</v>
      </c>
      <c r="C135" s="5" t="s">
        <v>14</v>
      </c>
      <c r="D135" s="5" t="s">
        <v>15</v>
      </c>
      <c r="E135" s="5" t="str">
        <f>"谢恒"</f>
        <v>谢恒</v>
      </c>
      <c r="F135" s="5" t="str">
        <f t="shared" ref="F135:F141" si="39">"男"</f>
        <v>男</v>
      </c>
      <c r="G135" s="5" t="str">
        <f>"1996-01-27"</f>
        <v>1996-01-27</v>
      </c>
      <c r="H135" s="5" t="str">
        <f>"湘潭大学"</f>
        <v>湘潭大学</v>
      </c>
    </row>
    <row r="136" s="2" customFormat="1" ht="20" customHeight="1" spans="1:8">
      <c r="A136" s="5">
        <v>134</v>
      </c>
      <c r="B136" s="5" t="str">
        <f>"223220191127221503216188"</f>
        <v>223220191127221503216188</v>
      </c>
      <c r="C136" s="5" t="s">
        <v>14</v>
      </c>
      <c r="D136" s="5" t="s">
        <v>15</v>
      </c>
      <c r="E136" s="5" t="str">
        <f>"张喜婷"</f>
        <v>张喜婷</v>
      </c>
      <c r="F136" s="5" t="str">
        <f t="shared" ref="F136:F138" si="40">"女"</f>
        <v>女</v>
      </c>
      <c r="G136" s="5" t="str">
        <f>"1989-08-04"</f>
        <v>1989-08-04</v>
      </c>
      <c r="H136" s="5" t="str">
        <f>"四川警察学院"</f>
        <v>四川警察学院</v>
      </c>
    </row>
    <row r="137" s="2" customFormat="1" ht="20" customHeight="1" spans="1:8">
      <c r="A137" s="5">
        <v>135</v>
      </c>
      <c r="B137" s="5" t="str">
        <f>"223220191128093520216396"</f>
        <v>223220191128093520216396</v>
      </c>
      <c r="C137" s="5" t="s">
        <v>14</v>
      </c>
      <c r="D137" s="5" t="s">
        <v>15</v>
      </c>
      <c r="E137" s="5" t="str">
        <f>"郑丽菊"</f>
        <v>郑丽菊</v>
      </c>
      <c r="F137" s="5" t="str">
        <f t="shared" si="40"/>
        <v>女</v>
      </c>
      <c r="G137" s="5" t="str">
        <f>"1990-11-28"</f>
        <v>1990-11-28</v>
      </c>
      <c r="H137" s="5" t="str">
        <f>"华南师范大学增城学院"</f>
        <v>华南师范大学增城学院</v>
      </c>
    </row>
    <row r="138" s="2" customFormat="1" ht="20" customHeight="1" spans="1:8">
      <c r="A138" s="5">
        <v>136</v>
      </c>
      <c r="B138" s="5" t="str">
        <f>"223220191128214441217206"</f>
        <v>223220191128214441217206</v>
      </c>
      <c r="C138" s="5" t="s">
        <v>14</v>
      </c>
      <c r="D138" s="5" t="s">
        <v>15</v>
      </c>
      <c r="E138" s="5" t="str">
        <f>"黄桦"</f>
        <v>黄桦</v>
      </c>
      <c r="F138" s="5" t="str">
        <f t="shared" si="40"/>
        <v>女</v>
      </c>
      <c r="G138" s="5" t="str">
        <f>"1997-01-30"</f>
        <v>1997-01-30</v>
      </c>
      <c r="H138" s="5" t="str">
        <f>"华中师范大学"</f>
        <v>华中师范大学</v>
      </c>
    </row>
    <row r="139" s="2" customFormat="1" ht="20" customHeight="1" spans="1:8">
      <c r="A139" s="5">
        <v>137</v>
      </c>
      <c r="B139" s="5" t="str">
        <f>"223220191130161232218152"</f>
        <v>223220191130161232218152</v>
      </c>
      <c r="C139" s="5" t="s">
        <v>14</v>
      </c>
      <c r="D139" s="5" t="s">
        <v>15</v>
      </c>
      <c r="E139" s="5" t="str">
        <f>"文佳明"</f>
        <v>文佳明</v>
      </c>
      <c r="F139" s="5" t="str">
        <f t="shared" ref="F139:F141" si="41">"男"</f>
        <v>男</v>
      </c>
      <c r="G139" s="5" t="str">
        <f>"1997-02-16"</f>
        <v>1997-02-16</v>
      </c>
      <c r="H139" s="5" t="str">
        <f>"四川师范大学"</f>
        <v>四川师范大学</v>
      </c>
    </row>
    <row r="140" s="2" customFormat="1" ht="20" customHeight="1" spans="1:8">
      <c r="A140" s="5">
        <v>138</v>
      </c>
      <c r="B140" s="5" t="str">
        <f>"223220191123133134210315"</f>
        <v>223220191123133134210315</v>
      </c>
      <c r="C140" s="5" t="s">
        <v>16</v>
      </c>
      <c r="D140" s="5" t="s">
        <v>17</v>
      </c>
      <c r="E140" s="5" t="str">
        <f>"王开道"</f>
        <v>王开道</v>
      </c>
      <c r="F140" s="5" t="str">
        <f t="shared" si="41"/>
        <v>男</v>
      </c>
      <c r="G140" s="5" t="str">
        <f>"1993-12-08"</f>
        <v>1993-12-08</v>
      </c>
      <c r="H140" s="5" t="str">
        <f>"长春建筑学院"</f>
        <v>长春建筑学院</v>
      </c>
    </row>
    <row r="141" s="2" customFormat="1" ht="20" customHeight="1" spans="1:8">
      <c r="A141" s="5">
        <v>139</v>
      </c>
      <c r="B141" s="5" t="str">
        <f>"223220191125003640211489"</f>
        <v>223220191125003640211489</v>
      </c>
      <c r="C141" s="5" t="s">
        <v>16</v>
      </c>
      <c r="D141" s="5" t="s">
        <v>17</v>
      </c>
      <c r="E141" s="5" t="str">
        <f>"黎周威"</f>
        <v>黎周威</v>
      </c>
      <c r="F141" s="5" t="str">
        <f t="shared" si="41"/>
        <v>男</v>
      </c>
      <c r="G141" s="5" t="str">
        <f>"1996-03-15"</f>
        <v>1996-03-15</v>
      </c>
      <c r="H141" s="5" t="str">
        <f>"青岛理工大学"</f>
        <v>青岛理工大学</v>
      </c>
    </row>
    <row r="142" s="2" customFormat="1" ht="20" customHeight="1" spans="1:8">
      <c r="A142" s="5">
        <v>140</v>
      </c>
      <c r="B142" s="5" t="str">
        <f>"223220191125084601211551"</f>
        <v>223220191125084601211551</v>
      </c>
      <c r="C142" s="5" t="s">
        <v>16</v>
      </c>
      <c r="D142" s="5" t="s">
        <v>17</v>
      </c>
      <c r="E142" s="5" t="str">
        <f>"陈静"</f>
        <v>陈静</v>
      </c>
      <c r="F142" s="5" t="str">
        <f t="shared" ref="F142:F146" si="42">"女"</f>
        <v>女</v>
      </c>
      <c r="G142" s="5" t="str">
        <f>"1994-10-02"</f>
        <v>1994-10-02</v>
      </c>
      <c r="H142" s="5" t="str">
        <f>"南通大学"</f>
        <v>南通大学</v>
      </c>
    </row>
    <row r="143" s="2" customFormat="1" ht="20" customHeight="1" spans="1:8">
      <c r="A143" s="5">
        <v>141</v>
      </c>
      <c r="B143" s="5" t="str">
        <f>"223220191125213921212711"</f>
        <v>223220191125213921212711</v>
      </c>
      <c r="C143" s="5" t="s">
        <v>16</v>
      </c>
      <c r="D143" s="5" t="s">
        <v>17</v>
      </c>
      <c r="E143" s="5" t="str">
        <f>"李文才"</f>
        <v>李文才</v>
      </c>
      <c r="F143" s="5" t="str">
        <f>"男"</f>
        <v>男</v>
      </c>
      <c r="G143" s="5" t="str">
        <f>"1993-08-26"</f>
        <v>1993-08-26</v>
      </c>
      <c r="H143" s="5" t="str">
        <f>"安徽建筑大学"</f>
        <v>安徽建筑大学</v>
      </c>
    </row>
    <row r="144" s="2" customFormat="1" ht="20" customHeight="1" spans="1:8">
      <c r="A144" s="5">
        <v>142</v>
      </c>
      <c r="B144" s="5" t="str">
        <f>"223220191126085307212968"</f>
        <v>223220191126085307212968</v>
      </c>
      <c r="C144" s="5" t="s">
        <v>16</v>
      </c>
      <c r="D144" s="5" t="s">
        <v>17</v>
      </c>
      <c r="E144" s="5" t="str">
        <f>"羊德娟"</f>
        <v>羊德娟</v>
      </c>
      <c r="F144" s="5" t="str">
        <f t="shared" ref="F144:F146" si="43">"女"</f>
        <v>女</v>
      </c>
      <c r="G144" s="5" t="str">
        <f>"1986-09-11"</f>
        <v>1986-09-11</v>
      </c>
      <c r="H144" s="5" t="str">
        <f>"湖南文理学院"</f>
        <v>湖南文理学院</v>
      </c>
    </row>
    <row r="145" s="2" customFormat="1" ht="20" customHeight="1" spans="1:8">
      <c r="A145" s="5">
        <v>143</v>
      </c>
      <c r="B145" s="5" t="str">
        <f>"223220191126152130214060"</f>
        <v>223220191126152130214060</v>
      </c>
      <c r="C145" s="5" t="s">
        <v>16</v>
      </c>
      <c r="D145" s="5" t="s">
        <v>17</v>
      </c>
      <c r="E145" s="5" t="str">
        <f>"蔡玉婷"</f>
        <v>蔡玉婷</v>
      </c>
      <c r="F145" s="5" t="str">
        <f t="shared" si="43"/>
        <v>女</v>
      </c>
      <c r="G145" s="5" t="str">
        <f>"1991-12-05"</f>
        <v>1991-12-05</v>
      </c>
      <c r="H145" s="5" t="str">
        <f>"昆明理工大学"</f>
        <v>昆明理工大学</v>
      </c>
    </row>
    <row r="146" s="2" customFormat="1" ht="20" customHeight="1" spans="1:8">
      <c r="A146" s="5">
        <v>144</v>
      </c>
      <c r="B146" s="5" t="str">
        <f>"223220191127003458214957"</f>
        <v>223220191127003458214957</v>
      </c>
      <c r="C146" s="5" t="s">
        <v>16</v>
      </c>
      <c r="D146" s="5" t="s">
        <v>17</v>
      </c>
      <c r="E146" s="5" t="str">
        <f>"沈善女"</f>
        <v>沈善女</v>
      </c>
      <c r="F146" s="5" t="str">
        <f t="shared" si="43"/>
        <v>女</v>
      </c>
      <c r="G146" s="5" t="str">
        <f>"1989-10-08"</f>
        <v>1989-10-08</v>
      </c>
      <c r="H146" s="5" t="str">
        <f>"琼州学院"</f>
        <v>琼州学院</v>
      </c>
    </row>
    <row r="147" s="2" customFormat="1" ht="20" customHeight="1" spans="1:8">
      <c r="A147" s="5">
        <v>145</v>
      </c>
      <c r="B147" s="5" t="str">
        <f>"223220191127200046216000"</f>
        <v>223220191127200046216000</v>
      </c>
      <c r="C147" s="5" t="s">
        <v>16</v>
      </c>
      <c r="D147" s="5" t="s">
        <v>17</v>
      </c>
      <c r="E147" s="5" t="str">
        <f>"黎国辉"</f>
        <v>黎国辉</v>
      </c>
      <c r="F147" s="5" t="str">
        <f t="shared" ref="F147:F153" si="44">"男"</f>
        <v>男</v>
      </c>
      <c r="G147" s="5" t="str">
        <f>"1997-12-01"</f>
        <v>1997-12-01</v>
      </c>
      <c r="H147" s="5" t="str">
        <f>"景德镇学院"</f>
        <v>景德镇学院</v>
      </c>
    </row>
    <row r="148" s="2" customFormat="1" ht="20" customHeight="1" spans="1:8">
      <c r="A148" s="5">
        <v>146</v>
      </c>
      <c r="B148" s="5" t="str">
        <f>"223220191128151821216847"</f>
        <v>223220191128151821216847</v>
      </c>
      <c r="C148" s="5" t="s">
        <v>16</v>
      </c>
      <c r="D148" s="5" t="s">
        <v>17</v>
      </c>
      <c r="E148" s="5" t="str">
        <f>"许桂香"</f>
        <v>许桂香</v>
      </c>
      <c r="F148" s="5" t="str">
        <f t="shared" ref="F148:F151" si="45">"女"</f>
        <v>女</v>
      </c>
      <c r="G148" s="5" t="str">
        <f>"1991-08-17"</f>
        <v>1991-08-17</v>
      </c>
      <c r="H148" s="5" t="str">
        <f>"海南热带海洋学院"</f>
        <v>海南热带海洋学院</v>
      </c>
    </row>
    <row r="149" s="2" customFormat="1" ht="20" customHeight="1" spans="1:8">
      <c r="A149" s="5">
        <v>147</v>
      </c>
      <c r="B149" s="5" t="str">
        <f>"223220191123193736210581"</f>
        <v>223220191123193736210581</v>
      </c>
      <c r="C149" s="5" t="s">
        <v>16</v>
      </c>
      <c r="D149" s="5" t="s">
        <v>18</v>
      </c>
      <c r="E149" s="5" t="str">
        <f>"吴玉莹"</f>
        <v>吴玉莹</v>
      </c>
      <c r="F149" s="5" t="str">
        <f t="shared" si="45"/>
        <v>女</v>
      </c>
      <c r="G149" s="5" t="str">
        <f>"1997-09-04"</f>
        <v>1997-09-04</v>
      </c>
      <c r="H149" s="5" t="str">
        <f>"海南师范大学"</f>
        <v>海南师范大学</v>
      </c>
    </row>
    <row r="150" s="2" customFormat="1" ht="20" customHeight="1" spans="1:8">
      <c r="A150" s="5">
        <v>148</v>
      </c>
      <c r="B150" s="5" t="str">
        <f>"223220191124002641210755"</f>
        <v>223220191124002641210755</v>
      </c>
      <c r="C150" s="5" t="s">
        <v>16</v>
      </c>
      <c r="D150" s="5" t="s">
        <v>18</v>
      </c>
      <c r="E150" s="5" t="str">
        <f>"万乙宏"</f>
        <v>万乙宏</v>
      </c>
      <c r="F150" s="5" t="str">
        <f t="shared" ref="F150:F153" si="46">"男"</f>
        <v>男</v>
      </c>
      <c r="G150" s="5" t="str">
        <f>"1993-07-23"</f>
        <v>1993-07-23</v>
      </c>
      <c r="H150" s="5" t="str">
        <f>"广东工业大学华立学院"</f>
        <v>广东工业大学华立学院</v>
      </c>
    </row>
    <row r="151" s="2" customFormat="1" ht="20" customHeight="1" spans="1:8">
      <c r="A151" s="5">
        <v>149</v>
      </c>
      <c r="B151" s="5" t="str">
        <f>"223220191124151202211101"</f>
        <v>223220191124151202211101</v>
      </c>
      <c r="C151" s="5" t="s">
        <v>16</v>
      </c>
      <c r="D151" s="5" t="s">
        <v>18</v>
      </c>
      <c r="E151" s="5" t="str">
        <f>"符有教"</f>
        <v>符有教</v>
      </c>
      <c r="F151" s="5" t="str">
        <f>"女"</f>
        <v>女</v>
      </c>
      <c r="G151" s="5" t="str">
        <f>"1987-09-18"</f>
        <v>1987-09-18</v>
      </c>
      <c r="H151" s="5" t="str">
        <f>"赣南师范学院"</f>
        <v>赣南师范学院</v>
      </c>
    </row>
    <row r="152" s="2" customFormat="1" ht="20" customHeight="1" spans="1:8">
      <c r="A152" s="5">
        <v>150</v>
      </c>
      <c r="B152" s="5" t="str">
        <f>"223220191124182728211231"</f>
        <v>223220191124182728211231</v>
      </c>
      <c r="C152" s="5" t="s">
        <v>16</v>
      </c>
      <c r="D152" s="5" t="s">
        <v>18</v>
      </c>
      <c r="E152" s="5" t="str">
        <f>"李晓康"</f>
        <v>李晓康</v>
      </c>
      <c r="F152" s="5" t="str">
        <f>"男"</f>
        <v>男</v>
      </c>
      <c r="G152" s="5" t="str">
        <f>"1995-10-18"</f>
        <v>1995-10-18</v>
      </c>
      <c r="H152" s="5" t="str">
        <f>"宝鸡文理学院"</f>
        <v>宝鸡文理学院</v>
      </c>
    </row>
    <row r="153" s="2" customFormat="1" ht="20" customHeight="1" spans="1:8">
      <c r="A153" s="5">
        <v>151</v>
      </c>
      <c r="B153" s="5" t="str">
        <f>"223220191125082859211527"</f>
        <v>223220191125082859211527</v>
      </c>
      <c r="C153" s="5" t="s">
        <v>16</v>
      </c>
      <c r="D153" s="5" t="s">
        <v>18</v>
      </c>
      <c r="E153" s="5" t="str">
        <f>"钱新元"</f>
        <v>钱新元</v>
      </c>
      <c r="F153" s="5" t="str">
        <f>"男"</f>
        <v>男</v>
      </c>
      <c r="G153" s="5" t="str">
        <f>"1995-09-02"</f>
        <v>1995-09-02</v>
      </c>
      <c r="H153" s="5" t="str">
        <f>"辽宁财贸学院"</f>
        <v>辽宁财贸学院</v>
      </c>
    </row>
    <row r="154" s="2" customFormat="1" ht="20" customHeight="1" spans="1:8">
      <c r="A154" s="5">
        <v>152</v>
      </c>
      <c r="B154" s="5" t="str">
        <f>"223220191125093541211670"</f>
        <v>223220191125093541211670</v>
      </c>
      <c r="C154" s="5" t="s">
        <v>16</v>
      </c>
      <c r="D154" s="5" t="s">
        <v>18</v>
      </c>
      <c r="E154" s="5" t="str">
        <f>"丁悦美"</f>
        <v>丁悦美</v>
      </c>
      <c r="F154" s="5" t="str">
        <f t="shared" ref="F154:F156" si="47">"女"</f>
        <v>女</v>
      </c>
      <c r="G154" s="5" t="str">
        <f>"1985-11-12"</f>
        <v>1985-11-12</v>
      </c>
      <c r="H154" s="5" t="str">
        <f>"海南师范大学"</f>
        <v>海南师范大学</v>
      </c>
    </row>
    <row r="155" s="2" customFormat="1" ht="20" customHeight="1" spans="1:8">
      <c r="A155" s="5">
        <v>153</v>
      </c>
      <c r="B155" s="5" t="str">
        <f>"223220191125101641211751"</f>
        <v>223220191125101641211751</v>
      </c>
      <c r="C155" s="5" t="s">
        <v>16</v>
      </c>
      <c r="D155" s="5" t="s">
        <v>18</v>
      </c>
      <c r="E155" s="5" t="str">
        <f>"吕哲贤"</f>
        <v>吕哲贤</v>
      </c>
      <c r="F155" s="5" t="str">
        <f t="shared" si="47"/>
        <v>女</v>
      </c>
      <c r="G155" s="5" t="str">
        <f>"1990-03-24"</f>
        <v>1990-03-24</v>
      </c>
      <c r="H155" s="5" t="str">
        <f>"江西师范大学"</f>
        <v>江西师范大学</v>
      </c>
    </row>
    <row r="156" s="2" customFormat="1" ht="20" customHeight="1" spans="1:8">
      <c r="A156" s="5">
        <v>154</v>
      </c>
      <c r="B156" s="5" t="str">
        <f>"223220191126110338213483"</f>
        <v>223220191126110338213483</v>
      </c>
      <c r="C156" s="5" t="s">
        <v>16</v>
      </c>
      <c r="D156" s="5" t="s">
        <v>18</v>
      </c>
      <c r="E156" s="5" t="str">
        <f>"许丽容"</f>
        <v>许丽容</v>
      </c>
      <c r="F156" s="5" t="str">
        <f t="shared" si="47"/>
        <v>女</v>
      </c>
      <c r="G156" s="5" t="str">
        <f>"1993-12-30"</f>
        <v>1993-12-30</v>
      </c>
      <c r="H156" s="5" t="str">
        <f>"湖南工业大学"</f>
        <v>湖南工业大学</v>
      </c>
    </row>
    <row r="157" s="2" customFormat="1" ht="20" customHeight="1" spans="1:8">
      <c r="A157" s="5">
        <v>155</v>
      </c>
      <c r="B157" s="5" t="str">
        <f>"223220191126162942214206"</f>
        <v>223220191126162942214206</v>
      </c>
      <c r="C157" s="5" t="s">
        <v>16</v>
      </c>
      <c r="D157" s="5" t="s">
        <v>18</v>
      </c>
      <c r="E157" s="5" t="str">
        <f>"王冬"</f>
        <v>王冬</v>
      </c>
      <c r="F157" s="5" t="str">
        <f t="shared" ref="F157:F159" si="48">"男"</f>
        <v>男</v>
      </c>
      <c r="G157" s="5" t="str">
        <f>"1994-01-03"</f>
        <v>1994-01-03</v>
      </c>
      <c r="H157" s="5" t="str">
        <f>"吉林工程技术师范学院"</f>
        <v>吉林工程技术师范学院</v>
      </c>
    </row>
    <row r="158" s="2" customFormat="1" ht="20" customHeight="1" spans="1:8">
      <c r="A158" s="5">
        <v>156</v>
      </c>
      <c r="B158" s="5" t="str">
        <f>"223220191126194013214573"</f>
        <v>223220191126194013214573</v>
      </c>
      <c r="C158" s="5" t="s">
        <v>16</v>
      </c>
      <c r="D158" s="5" t="s">
        <v>18</v>
      </c>
      <c r="E158" s="5" t="str">
        <f>"王发光"</f>
        <v>王发光</v>
      </c>
      <c r="F158" s="5" t="str">
        <f t="shared" si="48"/>
        <v>男</v>
      </c>
      <c r="G158" s="5" t="str">
        <f>"1994-02-14"</f>
        <v>1994-02-14</v>
      </c>
      <c r="H158" s="5" t="str">
        <f>"平顶山学院"</f>
        <v>平顶山学院</v>
      </c>
    </row>
    <row r="159" s="2" customFormat="1" ht="20" customHeight="1" spans="1:8">
      <c r="A159" s="5">
        <v>157</v>
      </c>
      <c r="B159" s="5" t="str">
        <f>"223220191126194931214590"</f>
        <v>223220191126194931214590</v>
      </c>
      <c r="C159" s="5" t="s">
        <v>16</v>
      </c>
      <c r="D159" s="5" t="s">
        <v>18</v>
      </c>
      <c r="E159" s="5" t="str">
        <f>"谢昆锦"</f>
        <v>谢昆锦</v>
      </c>
      <c r="F159" s="5" t="str">
        <f t="shared" si="48"/>
        <v>男</v>
      </c>
      <c r="G159" s="5" t="str">
        <f>"1994-12-26"</f>
        <v>1994-12-26</v>
      </c>
      <c r="H159" s="5" t="str">
        <f>"中山大学南方学院"</f>
        <v>中山大学南方学院</v>
      </c>
    </row>
    <row r="160" s="2" customFormat="1" ht="20" customHeight="1" spans="1:8">
      <c r="A160" s="5">
        <v>158</v>
      </c>
      <c r="B160" s="5" t="str">
        <f>"223220191127084510215024"</f>
        <v>223220191127084510215024</v>
      </c>
      <c r="C160" s="5" t="s">
        <v>16</v>
      </c>
      <c r="D160" s="5" t="s">
        <v>18</v>
      </c>
      <c r="E160" s="5" t="str">
        <f>"陈攀"</f>
        <v>陈攀</v>
      </c>
      <c r="F160" s="5" t="str">
        <f t="shared" ref="F160:F165" si="49">"女"</f>
        <v>女</v>
      </c>
      <c r="G160" s="5" t="str">
        <f>"1996-05-15"</f>
        <v>1996-05-15</v>
      </c>
      <c r="H160" s="5" t="str">
        <f>"河北师范大学"</f>
        <v>河北师范大学</v>
      </c>
    </row>
    <row r="161" s="2" customFormat="1" ht="20" customHeight="1" spans="1:8">
      <c r="A161" s="5">
        <v>159</v>
      </c>
      <c r="B161" s="5" t="str">
        <f>"223220191128150926216828"</f>
        <v>223220191128150926216828</v>
      </c>
      <c r="C161" s="5" t="s">
        <v>16</v>
      </c>
      <c r="D161" s="5" t="s">
        <v>18</v>
      </c>
      <c r="E161" s="5" t="str">
        <f>"王昌亮"</f>
        <v>王昌亮</v>
      </c>
      <c r="F161" s="5" t="str">
        <f t="shared" ref="F161:F166" si="50">"男"</f>
        <v>男</v>
      </c>
      <c r="G161" s="5" t="str">
        <f>"1994-04-10"</f>
        <v>1994-04-10</v>
      </c>
      <c r="H161" s="5" t="str">
        <f>"海南大学"</f>
        <v>海南大学</v>
      </c>
    </row>
    <row r="162" s="2" customFormat="1" ht="20" customHeight="1" spans="1:8">
      <c r="A162" s="5">
        <v>160</v>
      </c>
      <c r="B162" s="5" t="str">
        <f>"223220191129233034217878"</f>
        <v>223220191129233034217878</v>
      </c>
      <c r="C162" s="5" t="s">
        <v>16</v>
      </c>
      <c r="D162" s="5" t="s">
        <v>18</v>
      </c>
      <c r="E162" s="5" t="str">
        <f>"钟志堂"</f>
        <v>钟志堂</v>
      </c>
      <c r="F162" s="5" t="str">
        <f t="shared" si="50"/>
        <v>男</v>
      </c>
      <c r="G162" s="5" t="str">
        <f>"1985-08-28"</f>
        <v>1985-08-28</v>
      </c>
      <c r="H162" s="5" t="str">
        <f>"海南师范大学"</f>
        <v>海南师范大学</v>
      </c>
    </row>
    <row r="163" s="2" customFormat="1" ht="20" customHeight="1" spans="1:8">
      <c r="A163" s="5">
        <v>161</v>
      </c>
      <c r="B163" s="5" t="str">
        <f>"223220191123095419210048"</f>
        <v>223220191123095419210048</v>
      </c>
      <c r="C163" s="5" t="s">
        <v>19</v>
      </c>
      <c r="D163" s="5" t="s">
        <v>20</v>
      </c>
      <c r="E163" s="5" t="str">
        <f>"黄琳琳"</f>
        <v>黄琳琳</v>
      </c>
      <c r="F163" s="5" t="str">
        <f t="shared" ref="F163:F165" si="51">"女"</f>
        <v>女</v>
      </c>
      <c r="G163" s="5" t="str">
        <f>"1992-02-12"</f>
        <v>1992-02-12</v>
      </c>
      <c r="H163" s="5" t="str">
        <f>"西南大学育才学院"</f>
        <v>西南大学育才学院</v>
      </c>
    </row>
    <row r="164" s="2" customFormat="1" ht="20" customHeight="1" spans="1:8">
      <c r="A164" s="5">
        <v>162</v>
      </c>
      <c r="B164" s="5" t="str">
        <f>"223220191123164636210451"</f>
        <v>223220191123164636210451</v>
      </c>
      <c r="C164" s="5" t="s">
        <v>19</v>
      </c>
      <c r="D164" s="5" t="s">
        <v>20</v>
      </c>
      <c r="E164" s="5" t="str">
        <f>"巩媛璠"</f>
        <v>巩媛璠</v>
      </c>
      <c r="F164" s="5" t="str">
        <f t="shared" si="51"/>
        <v>女</v>
      </c>
      <c r="G164" s="5" t="str">
        <f>"1995-07-09"</f>
        <v>1995-07-09</v>
      </c>
      <c r="H164" s="5" t="str">
        <f>"江西警察学院"</f>
        <v>江西警察学院</v>
      </c>
    </row>
    <row r="165" s="2" customFormat="1" ht="20" customHeight="1" spans="1:8">
      <c r="A165" s="5">
        <v>163</v>
      </c>
      <c r="B165" s="5" t="str">
        <f>"223220191123175108210507"</f>
        <v>223220191123175108210507</v>
      </c>
      <c r="C165" s="5" t="s">
        <v>19</v>
      </c>
      <c r="D165" s="5" t="s">
        <v>20</v>
      </c>
      <c r="E165" s="5" t="str">
        <f>"王少琴"</f>
        <v>王少琴</v>
      </c>
      <c r="F165" s="5" t="str">
        <f t="shared" si="51"/>
        <v>女</v>
      </c>
      <c r="G165" s="5" t="str">
        <f>"1996-07-12"</f>
        <v>1996-07-12</v>
      </c>
      <c r="H165" s="5" t="str">
        <f>"海南大学"</f>
        <v>海南大学</v>
      </c>
    </row>
    <row r="166" s="2" customFormat="1" ht="20" customHeight="1" spans="1:8">
      <c r="A166" s="5">
        <v>164</v>
      </c>
      <c r="B166" s="5" t="str">
        <f>"223220191123180741210514"</f>
        <v>223220191123180741210514</v>
      </c>
      <c r="C166" s="5" t="s">
        <v>19</v>
      </c>
      <c r="D166" s="5" t="s">
        <v>20</v>
      </c>
      <c r="E166" s="5" t="str">
        <f>"赵剑淮"</f>
        <v>赵剑淮</v>
      </c>
      <c r="F166" s="5" t="str">
        <f t="shared" ref="F166:F170" si="52">"男"</f>
        <v>男</v>
      </c>
      <c r="G166" s="5" t="str">
        <f>"1992-12-24"</f>
        <v>1992-12-24</v>
      </c>
      <c r="H166" s="5" t="str">
        <f>"三亚学院"</f>
        <v>三亚学院</v>
      </c>
    </row>
    <row r="167" s="2" customFormat="1" ht="20" customHeight="1" spans="1:8">
      <c r="A167" s="5">
        <v>165</v>
      </c>
      <c r="B167" s="5" t="str">
        <f>"223220191124135047211043"</f>
        <v>223220191124135047211043</v>
      </c>
      <c r="C167" s="5" t="s">
        <v>19</v>
      </c>
      <c r="D167" s="5" t="s">
        <v>20</v>
      </c>
      <c r="E167" s="5" t="str">
        <f>"麦淑妃"</f>
        <v>麦淑妃</v>
      </c>
      <c r="F167" s="5" t="str">
        <f t="shared" ref="F167:F174" si="53">"女"</f>
        <v>女</v>
      </c>
      <c r="G167" s="5" t="str">
        <f>"1997-10-05"</f>
        <v>1997-10-05</v>
      </c>
      <c r="H167" s="5" t="str">
        <f>"长春工业大学人文信息学院"</f>
        <v>长春工业大学人文信息学院</v>
      </c>
    </row>
    <row r="168" s="2" customFormat="1" ht="20" customHeight="1" spans="1:8">
      <c r="A168" s="5">
        <v>166</v>
      </c>
      <c r="B168" s="5" t="str">
        <f>"223220191124152018211104"</f>
        <v>223220191124152018211104</v>
      </c>
      <c r="C168" s="5" t="s">
        <v>19</v>
      </c>
      <c r="D168" s="5" t="s">
        <v>20</v>
      </c>
      <c r="E168" s="5" t="str">
        <f>"黄林颖"</f>
        <v>黄林颖</v>
      </c>
      <c r="F168" s="5" t="str">
        <f>"男"</f>
        <v>男</v>
      </c>
      <c r="G168" s="5" t="str">
        <f>"1992-07-17"</f>
        <v>1992-07-17</v>
      </c>
      <c r="H168" s="5" t="str">
        <f>"海南大学"</f>
        <v>海南大学</v>
      </c>
    </row>
    <row r="169" s="2" customFormat="1" ht="20" customHeight="1" spans="1:8">
      <c r="A169" s="5">
        <v>167</v>
      </c>
      <c r="B169" s="5" t="str">
        <f>"223220191124194135211286"</f>
        <v>223220191124194135211286</v>
      </c>
      <c r="C169" s="5" t="s">
        <v>19</v>
      </c>
      <c r="D169" s="5" t="s">
        <v>20</v>
      </c>
      <c r="E169" s="5" t="str">
        <f>"徐彬"</f>
        <v>徐彬</v>
      </c>
      <c r="F169" s="5" t="str">
        <f t="shared" ref="F169:F174" si="54">"女"</f>
        <v>女</v>
      </c>
      <c r="G169" s="5" t="str">
        <f>"1997-08-11"</f>
        <v>1997-08-11</v>
      </c>
      <c r="H169" s="5" t="str">
        <f>"重庆人文科技学院"</f>
        <v>重庆人文科技学院</v>
      </c>
    </row>
    <row r="170" s="2" customFormat="1" ht="20" customHeight="1" spans="1:8">
      <c r="A170" s="5">
        <v>168</v>
      </c>
      <c r="B170" s="5" t="str">
        <f>"223220191124210126211365"</f>
        <v>223220191124210126211365</v>
      </c>
      <c r="C170" s="5" t="s">
        <v>19</v>
      </c>
      <c r="D170" s="5" t="s">
        <v>20</v>
      </c>
      <c r="E170" s="5" t="str">
        <f>"文金确"</f>
        <v>文金确</v>
      </c>
      <c r="F170" s="5" t="str">
        <f>"男"</f>
        <v>男</v>
      </c>
      <c r="G170" s="5" t="str">
        <f>"1985-08-25"</f>
        <v>1985-08-25</v>
      </c>
      <c r="H170" s="5" t="str">
        <f>"河南大学"</f>
        <v>河南大学</v>
      </c>
    </row>
    <row r="171" s="2" customFormat="1" ht="20" customHeight="1" spans="1:8">
      <c r="A171" s="5">
        <v>169</v>
      </c>
      <c r="B171" s="5" t="str">
        <f>"223220191125085751211581"</f>
        <v>223220191125085751211581</v>
      </c>
      <c r="C171" s="5" t="s">
        <v>19</v>
      </c>
      <c r="D171" s="5" t="s">
        <v>20</v>
      </c>
      <c r="E171" s="5" t="str">
        <f>"林其带"</f>
        <v>林其带</v>
      </c>
      <c r="F171" s="5" t="str">
        <f>"女"</f>
        <v>女</v>
      </c>
      <c r="G171" s="5" t="str">
        <f>"1995-05-09"</f>
        <v>1995-05-09</v>
      </c>
      <c r="H171" s="5" t="str">
        <f>"海口经济学院"</f>
        <v>海口经济学院</v>
      </c>
    </row>
    <row r="172" s="2" customFormat="1" ht="20" customHeight="1" spans="1:8">
      <c r="A172" s="5">
        <v>170</v>
      </c>
      <c r="B172" s="5" t="str">
        <f>"223220191125085928211585"</f>
        <v>223220191125085928211585</v>
      </c>
      <c r="C172" s="5" t="s">
        <v>19</v>
      </c>
      <c r="D172" s="5" t="s">
        <v>20</v>
      </c>
      <c r="E172" s="5" t="str">
        <f>"罗佳佳"</f>
        <v>罗佳佳</v>
      </c>
      <c r="F172" s="5" t="str">
        <f>"女"</f>
        <v>女</v>
      </c>
      <c r="G172" s="5" t="str">
        <f>"1994-05-01"</f>
        <v>1994-05-01</v>
      </c>
      <c r="H172" s="5" t="str">
        <f>"哈尔滨师范大学"</f>
        <v>哈尔滨师范大学</v>
      </c>
    </row>
    <row r="173" s="2" customFormat="1" ht="20" customHeight="1" spans="1:8">
      <c r="A173" s="5">
        <v>171</v>
      </c>
      <c r="B173" s="5" t="str">
        <f>"223220191125162729212309"</f>
        <v>223220191125162729212309</v>
      </c>
      <c r="C173" s="5" t="s">
        <v>19</v>
      </c>
      <c r="D173" s="5" t="s">
        <v>20</v>
      </c>
      <c r="E173" s="5" t="str">
        <f>"曾秋丹"</f>
        <v>曾秋丹</v>
      </c>
      <c r="F173" s="5" t="str">
        <f>"女"</f>
        <v>女</v>
      </c>
      <c r="G173" s="5" t="str">
        <f>"1995-10-06"</f>
        <v>1995-10-06</v>
      </c>
      <c r="H173" s="5" t="str">
        <f>"内蒙古民族大学"</f>
        <v>内蒙古民族大学</v>
      </c>
    </row>
    <row r="174" s="2" customFormat="1" ht="20" customHeight="1" spans="1:8">
      <c r="A174" s="5">
        <v>172</v>
      </c>
      <c r="B174" s="5" t="str">
        <f>"223220191125163414212317"</f>
        <v>223220191125163414212317</v>
      </c>
      <c r="C174" s="5" t="s">
        <v>19</v>
      </c>
      <c r="D174" s="5" t="s">
        <v>20</v>
      </c>
      <c r="E174" s="5" t="str">
        <f>"文韵"</f>
        <v>文韵</v>
      </c>
      <c r="F174" s="5" t="str">
        <f>"女"</f>
        <v>女</v>
      </c>
      <c r="G174" s="5" t="str">
        <f>"1995-06-11"</f>
        <v>1995-06-11</v>
      </c>
      <c r="H174" s="5" t="str">
        <f>"海南热带海洋学院"</f>
        <v>海南热带海洋学院</v>
      </c>
    </row>
    <row r="175" s="2" customFormat="1" ht="20" customHeight="1" spans="1:8">
      <c r="A175" s="5">
        <v>173</v>
      </c>
      <c r="B175" s="5" t="str">
        <f>"223220191125172234212379"</f>
        <v>223220191125172234212379</v>
      </c>
      <c r="C175" s="5" t="s">
        <v>19</v>
      </c>
      <c r="D175" s="5" t="s">
        <v>20</v>
      </c>
      <c r="E175" s="5" t="str">
        <f>"李宇"</f>
        <v>李宇</v>
      </c>
      <c r="F175" s="5" t="str">
        <f>"男"</f>
        <v>男</v>
      </c>
      <c r="G175" s="5" t="str">
        <f>"1995-12-17"</f>
        <v>1995-12-17</v>
      </c>
      <c r="H175" s="5" t="str">
        <f>"江西警察学院"</f>
        <v>江西警察学院</v>
      </c>
    </row>
    <row r="176" s="2" customFormat="1" ht="20" customHeight="1" spans="1:8">
      <c r="A176" s="5">
        <v>174</v>
      </c>
      <c r="B176" s="5" t="str">
        <f>"223220191125192251212514"</f>
        <v>223220191125192251212514</v>
      </c>
      <c r="C176" s="5" t="s">
        <v>19</v>
      </c>
      <c r="D176" s="5" t="s">
        <v>20</v>
      </c>
      <c r="E176" s="5" t="str">
        <f>"杨小婵"</f>
        <v>杨小婵</v>
      </c>
      <c r="F176" s="5" t="str">
        <f t="shared" ref="F176:F180" si="55">"女"</f>
        <v>女</v>
      </c>
      <c r="G176" s="5" t="str">
        <f>"1990-06-27"</f>
        <v>1990-06-27</v>
      </c>
      <c r="H176" s="5" t="str">
        <f>"湘南学院"</f>
        <v>湘南学院</v>
      </c>
    </row>
    <row r="177" s="2" customFormat="1" ht="20" customHeight="1" spans="1:8">
      <c r="A177" s="5">
        <v>175</v>
      </c>
      <c r="B177" s="5" t="str">
        <f>"223220191125200621212568"</f>
        <v>223220191125200621212568</v>
      </c>
      <c r="C177" s="5" t="s">
        <v>19</v>
      </c>
      <c r="D177" s="5" t="s">
        <v>20</v>
      </c>
      <c r="E177" s="5" t="str">
        <f>"郭育玮"</f>
        <v>郭育玮</v>
      </c>
      <c r="F177" s="5" t="str">
        <f>"男"</f>
        <v>男</v>
      </c>
      <c r="G177" s="5" t="str">
        <f>"1992-07-08"</f>
        <v>1992-07-08</v>
      </c>
      <c r="H177" s="5" t="str">
        <f>"中央司法警官学院"</f>
        <v>中央司法警官学院</v>
      </c>
    </row>
    <row r="178" s="2" customFormat="1" ht="20" customHeight="1" spans="1:8">
      <c r="A178" s="5">
        <v>176</v>
      </c>
      <c r="B178" s="5" t="str">
        <f>"223220191125202621212601"</f>
        <v>223220191125202621212601</v>
      </c>
      <c r="C178" s="5" t="s">
        <v>19</v>
      </c>
      <c r="D178" s="5" t="s">
        <v>20</v>
      </c>
      <c r="E178" s="5" t="str">
        <f>"林晓云"</f>
        <v>林晓云</v>
      </c>
      <c r="F178" s="5" t="str">
        <f t="shared" ref="F178:F180" si="56">"女"</f>
        <v>女</v>
      </c>
      <c r="G178" s="5" t="str">
        <f>"1988-09-22"</f>
        <v>1988-09-22</v>
      </c>
      <c r="H178" s="5" t="str">
        <f>"南昌航空大学"</f>
        <v>南昌航空大学</v>
      </c>
    </row>
    <row r="179" s="2" customFormat="1" ht="20" customHeight="1" spans="1:8">
      <c r="A179" s="5">
        <v>177</v>
      </c>
      <c r="B179" s="5" t="str">
        <f>"223220191125212043212682"</f>
        <v>223220191125212043212682</v>
      </c>
      <c r="C179" s="5" t="s">
        <v>19</v>
      </c>
      <c r="D179" s="5" t="s">
        <v>20</v>
      </c>
      <c r="E179" s="5" t="str">
        <f>"陈立娜"</f>
        <v>陈立娜</v>
      </c>
      <c r="F179" s="5" t="str">
        <f t="shared" si="56"/>
        <v>女</v>
      </c>
      <c r="G179" s="5" t="str">
        <f>"1989-09-25"</f>
        <v>1989-09-25</v>
      </c>
      <c r="H179" s="5" t="str">
        <f>"武汉纺织大学"</f>
        <v>武汉纺织大学</v>
      </c>
    </row>
    <row r="180" s="2" customFormat="1" ht="20" customHeight="1" spans="1:8">
      <c r="A180" s="5">
        <v>178</v>
      </c>
      <c r="B180" s="5" t="str">
        <f>"223220191125225136212782"</f>
        <v>223220191125225136212782</v>
      </c>
      <c r="C180" s="5" t="s">
        <v>19</v>
      </c>
      <c r="D180" s="5" t="s">
        <v>20</v>
      </c>
      <c r="E180" s="5" t="str">
        <f>"王秋芳"</f>
        <v>王秋芳</v>
      </c>
      <c r="F180" s="5" t="str">
        <f t="shared" si="56"/>
        <v>女</v>
      </c>
      <c r="G180" s="5" t="str">
        <f>"1991-09-10"</f>
        <v>1991-09-10</v>
      </c>
      <c r="H180" s="5" t="str">
        <f>"海南师范大学"</f>
        <v>海南师范大学</v>
      </c>
    </row>
    <row r="181" s="2" customFormat="1" ht="20" customHeight="1" spans="1:8">
      <c r="A181" s="5">
        <v>179</v>
      </c>
      <c r="B181" s="5" t="str">
        <f>"223220191126090422213006"</f>
        <v>223220191126090422213006</v>
      </c>
      <c r="C181" s="5" t="s">
        <v>19</v>
      </c>
      <c r="D181" s="5" t="s">
        <v>20</v>
      </c>
      <c r="E181" s="5" t="str">
        <f>"王鹏"</f>
        <v>王鹏</v>
      </c>
      <c r="F181" s="5" t="str">
        <f>"男"</f>
        <v>男</v>
      </c>
      <c r="G181" s="5" t="str">
        <f>"1994-11-22"</f>
        <v>1994-11-22</v>
      </c>
      <c r="H181" s="5" t="str">
        <f>"海口经济学院"</f>
        <v>海口经济学院</v>
      </c>
    </row>
    <row r="182" s="2" customFormat="1" ht="20" customHeight="1" spans="1:8">
      <c r="A182" s="5">
        <v>180</v>
      </c>
      <c r="B182" s="5" t="str">
        <f>"223220191126103503213390"</f>
        <v>223220191126103503213390</v>
      </c>
      <c r="C182" s="5" t="s">
        <v>19</v>
      </c>
      <c r="D182" s="5" t="s">
        <v>20</v>
      </c>
      <c r="E182" s="5" t="str">
        <f>"庞广妹"</f>
        <v>庞广妹</v>
      </c>
      <c r="F182" s="5" t="str">
        <f t="shared" ref="F182:F189" si="57">"女"</f>
        <v>女</v>
      </c>
      <c r="G182" s="5" t="str">
        <f>"1992-08-11"</f>
        <v>1992-08-11</v>
      </c>
      <c r="H182" s="5" t="str">
        <f>"海口经济学院"</f>
        <v>海口经济学院</v>
      </c>
    </row>
    <row r="183" s="2" customFormat="1" ht="20" customHeight="1" spans="1:8">
      <c r="A183" s="5">
        <v>181</v>
      </c>
      <c r="B183" s="5" t="str">
        <f>"223220191126105617213460"</f>
        <v>223220191126105617213460</v>
      </c>
      <c r="C183" s="5" t="s">
        <v>19</v>
      </c>
      <c r="D183" s="5" t="s">
        <v>20</v>
      </c>
      <c r="E183" s="5" t="str">
        <f>"符文英"</f>
        <v>符文英</v>
      </c>
      <c r="F183" s="5" t="str">
        <f t="shared" si="57"/>
        <v>女</v>
      </c>
      <c r="G183" s="5" t="str">
        <f>"1994-01-16"</f>
        <v>1994-01-16</v>
      </c>
      <c r="H183" s="5" t="str">
        <f>"天津外国语大学滨海外事学院"</f>
        <v>天津外国语大学滨海外事学院</v>
      </c>
    </row>
    <row r="184" s="2" customFormat="1" ht="20" customHeight="1" spans="1:8">
      <c r="A184" s="5">
        <v>182</v>
      </c>
      <c r="B184" s="5" t="str">
        <f>"223220191126225958214919"</f>
        <v>223220191126225958214919</v>
      </c>
      <c r="C184" s="5" t="s">
        <v>19</v>
      </c>
      <c r="D184" s="5" t="s">
        <v>20</v>
      </c>
      <c r="E184" s="5" t="str">
        <f>"谢彬彬"</f>
        <v>谢彬彬</v>
      </c>
      <c r="F184" s="5" t="str">
        <f t="shared" si="57"/>
        <v>女</v>
      </c>
      <c r="G184" s="5" t="str">
        <f>"1993-05-07"</f>
        <v>1993-05-07</v>
      </c>
      <c r="H184" s="5" t="str">
        <f>"西北师范大学"</f>
        <v>西北师范大学</v>
      </c>
    </row>
    <row r="185" s="2" customFormat="1" ht="20" customHeight="1" spans="1:8">
      <c r="A185" s="5">
        <v>183</v>
      </c>
      <c r="B185" s="5" t="str">
        <f>"223220191127111600215289"</f>
        <v>223220191127111600215289</v>
      </c>
      <c r="C185" s="5" t="s">
        <v>19</v>
      </c>
      <c r="D185" s="5" t="s">
        <v>20</v>
      </c>
      <c r="E185" s="5" t="str">
        <f>"符琼春"</f>
        <v>符琼春</v>
      </c>
      <c r="F185" s="5" t="str">
        <f t="shared" si="57"/>
        <v>女</v>
      </c>
      <c r="G185" s="5" t="str">
        <f>"1995-12-26"</f>
        <v>1995-12-26</v>
      </c>
      <c r="H185" s="5" t="str">
        <f>"海南大学"</f>
        <v>海南大学</v>
      </c>
    </row>
    <row r="186" s="2" customFormat="1" ht="20" customHeight="1" spans="1:8">
      <c r="A186" s="5">
        <v>184</v>
      </c>
      <c r="B186" s="5" t="str">
        <f>"223220191127162442215730"</f>
        <v>223220191127162442215730</v>
      </c>
      <c r="C186" s="5" t="s">
        <v>19</v>
      </c>
      <c r="D186" s="5" t="s">
        <v>20</v>
      </c>
      <c r="E186" s="5" t="str">
        <f>"黄亦皇黄"</f>
        <v>黄亦皇黄</v>
      </c>
      <c r="F186" s="5" t="str">
        <f t="shared" si="57"/>
        <v>女</v>
      </c>
      <c r="G186" s="5" t="str">
        <f>"1995-07-13"</f>
        <v>1995-07-13</v>
      </c>
      <c r="H186" s="5" t="str">
        <f>"海南热带海洋学院"</f>
        <v>海南热带海洋学院</v>
      </c>
    </row>
    <row r="187" s="2" customFormat="1" ht="20" customHeight="1" spans="1:8">
      <c r="A187" s="5">
        <v>185</v>
      </c>
      <c r="B187" s="5" t="str">
        <f>"223220191129093747217368"</f>
        <v>223220191129093747217368</v>
      </c>
      <c r="C187" s="5" t="s">
        <v>19</v>
      </c>
      <c r="D187" s="5" t="s">
        <v>20</v>
      </c>
      <c r="E187" s="5" t="str">
        <f>"李焕姣"</f>
        <v>李焕姣</v>
      </c>
      <c r="F187" s="5" t="str">
        <f t="shared" si="57"/>
        <v>女</v>
      </c>
      <c r="G187" s="5" t="str">
        <f>"1994-10-23"</f>
        <v>1994-10-23</v>
      </c>
      <c r="H187" s="5" t="str">
        <f>"江西科技学院"</f>
        <v>江西科技学院</v>
      </c>
    </row>
    <row r="188" s="2" customFormat="1" ht="20" customHeight="1" spans="1:8">
      <c r="A188" s="5">
        <v>186</v>
      </c>
      <c r="B188" s="5" t="str">
        <f>"223220191129123513217505"</f>
        <v>223220191129123513217505</v>
      </c>
      <c r="C188" s="5" t="s">
        <v>19</v>
      </c>
      <c r="D188" s="5" t="s">
        <v>20</v>
      </c>
      <c r="E188" s="5" t="str">
        <f>"陈丽丹"</f>
        <v>陈丽丹</v>
      </c>
      <c r="F188" s="5" t="str">
        <f t="shared" si="57"/>
        <v>女</v>
      </c>
      <c r="G188" s="5" t="str">
        <f>"1997-01-31"</f>
        <v>1997-01-31</v>
      </c>
      <c r="H188" s="5" t="str">
        <f>"辽宁对外经贸学院"</f>
        <v>辽宁对外经贸学院</v>
      </c>
    </row>
    <row r="189" s="2" customFormat="1" ht="20" customHeight="1" spans="1:8">
      <c r="A189" s="5">
        <v>187</v>
      </c>
      <c r="B189" s="5" t="str">
        <f>"223220191130091703217926"</f>
        <v>223220191130091703217926</v>
      </c>
      <c r="C189" s="5" t="s">
        <v>19</v>
      </c>
      <c r="D189" s="5" t="s">
        <v>20</v>
      </c>
      <c r="E189" s="5" t="str">
        <f>"吴茂李"</f>
        <v>吴茂李</v>
      </c>
      <c r="F189" s="5" t="str">
        <f t="shared" si="57"/>
        <v>女</v>
      </c>
      <c r="G189" s="5" t="str">
        <f>"1993-06-07"</f>
        <v>1993-06-07</v>
      </c>
      <c r="H189" s="5" t="str">
        <f>"辽宁对外经贸学院"</f>
        <v>辽宁对外经贸学院</v>
      </c>
    </row>
    <row r="190" s="2" customFormat="1" ht="20" customHeight="1" spans="1:8">
      <c r="A190" s="5">
        <v>188</v>
      </c>
      <c r="B190" s="5" t="str">
        <f>"223220191123082538209968"</f>
        <v>223220191123082538209968</v>
      </c>
      <c r="C190" s="5" t="s">
        <v>19</v>
      </c>
      <c r="D190" s="5" t="s">
        <v>21</v>
      </c>
      <c r="E190" s="5" t="str">
        <f>"郭永良"</f>
        <v>郭永良</v>
      </c>
      <c r="F190" s="5" t="str">
        <f t="shared" ref="F190:F205" si="58">"男"</f>
        <v>男</v>
      </c>
      <c r="G190" s="5" t="str">
        <f>"1996-08-07"</f>
        <v>1996-08-07</v>
      </c>
      <c r="H190" s="5" t="str">
        <f>"广西大学"</f>
        <v>广西大学</v>
      </c>
    </row>
    <row r="191" s="2" customFormat="1" ht="20" customHeight="1" spans="1:8">
      <c r="A191" s="5">
        <v>189</v>
      </c>
      <c r="B191" s="5" t="str">
        <f>"223220191123122252210250"</f>
        <v>223220191123122252210250</v>
      </c>
      <c r="C191" s="5" t="s">
        <v>19</v>
      </c>
      <c r="D191" s="5" t="s">
        <v>21</v>
      </c>
      <c r="E191" s="5" t="str">
        <f>"林拥书"</f>
        <v>林拥书</v>
      </c>
      <c r="F191" s="5" t="str">
        <f t="shared" si="58"/>
        <v>男</v>
      </c>
      <c r="G191" s="5" t="str">
        <f>"1994-12-01"</f>
        <v>1994-12-01</v>
      </c>
      <c r="H191" s="5" t="str">
        <f>"桂林理工大学"</f>
        <v>桂林理工大学</v>
      </c>
    </row>
    <row r="192" s="2" customFormat="1" ht="20" customHeight="1" spans="1:8">
      <c r="A192" s="5">
        <v>190</v>
      </c>
      <c r="B192" s="5" t="str">
        <f>"223220191123133150210316"</f>
        <v>223220191123133150210316</v>
      </c>
      <c r="C192" s="5" t="s">
        <v>19</v>
      </c>
      <c r="D192" s="5" t="s">
        <v>21</v>
      </c>
      <c r="E192" s="5" t="str">
        <f>"林明明"</f>
        <v>林明明</v>
      </c>
      <c r="F192" s="5" t="str">
        <f t="shared" si="58"/>
        <v>男</v>
      </c>
      <c r="G192" s="5" t="str">
        <f>"1995-10-23"</f>
        <v>1995-10-23</v>
      </c>
      <c r="H192" s="5" t="str">
        <f>"青岛工学院"</f>
        <v>青岛工学院</v>
      </c>
    </row>
    <row r="193" s="2" customFormat="1" ht="20" customHeight="1" spans="1:8">
      <c r="A193" s="5">
        <v>191</v>
      </c>
      <c r="B193" s="5" t="str">
        <f>"223220191123140827210337"</f>
        <v>223220191123140827210337</v>
      </c>
      <c r="C193" s="5" t="s">
        <v>19</v>
      </c>
      <c r="D193" s="5" t="s">
        <v>21</v>
      </c>
      <c r="E193" s="5" t="str">
        <f>"全威"</f>
        <v>全威</v>
      </c>
      <c r="F193" s="5" t="str">
        <f t="shared" si="58"/>
        <v>男</v>
      </c>
      <c r="G193" s="5" t="str">
        <f>"1994-02-16"</f>
        <v>1994-02-16</v>
      </c>
      <c r="H193" s="5" t="str">
        <f>"海南工商职业学院"</f>
        <v>海南工商职业学院</v>
      </c>
    </row>
    <row r="194" s="2" customFormat="1" ht="20" customHeight="1" spans="1:8">
      <c r="A194" s="5">
        <v>192</v>
      </c>
      <c r="B194" s="5" t="str">
        <f>"223220191123160357210423"</f>
        <v>223220191123160357210423</v>
      </c>
      <c r="C194" s="5" t="s">
        <v>19</v>
      </c>
      <c r="D194" s="5" t="s">
        <v>21</v>
      </c>
      <c r="E194" s="5" t="str">
        <f>"文教宇"</f>
        <v>文教宇</v>
      </c>
      <c r="F194" s="5" t="str">
        <f t="shared" si="58"/>
        <v>男</v>
      </c>
      <c r="G194" s="5" t="str">
        <f>"1996-08-29"</f>
        <v>1996-08-29</v>
      </c>
      <c r="H194" s="5" t="str">
        <f>"长春工业大学人文信息学院"</f>
        <v>长春工业大学人文信息学院</v>
      </c>
    </row>
    <row r="195" s="2" customFormat="1" ht="20" customHeight="1" spans="1:8">
      <c r="A195" s="5">
        <v>193</v>
      </c>
      <c r="B195" s="5" t="str">
        <f>"223220191123173940210495"</f>
        <v>223220191123173940210495</v>
      </c>
      <c r="C195" s="5" t="s">
        <v>19</v>
      </c>
      <c r="D195" s="5" t="s">
        <v>21</v>
      </c>
      <c r="E195" s="5" t="str">
        <f>"冯世飞"</f>
        <v>冯世飞</v>
      </c>
      <c r="F195" s="5" t="str">
        <f t="shared" si="58"/>
        <v>男</v>
      </c>
      <c r="G195" s="5" t="str">
        <f>"1991-05-03"</f>
        <v>1991-05-03</v>
      </c>
      <c r="H195" s="5" t="str">
        <f>"海南职业技术学院"</f>
        <v>海南职业技术学院</v>
      </c>
    </row>
    <row r="196" s="2" customFormat="1" ht="20" customHeight="1" spans="1:8">
      <c r="A196" s="5">
        <v>194</v>
      </c>
      <c r="B196" s="5" t="str">
        <f>"223220191123191022210564"</f>
        <v>223220191123191022210564</v>
      </c>
      <c r="C196" s="5" t="s">
        <v>19</v>
      </c>
      <c r="D196" s="5" t="s">
        <v>21</v>
      </c>
      <c r="E196" s="5" t="str">
        <f>"唐卓贤"</f>
        <v>唐卓贤</v>
      </c>
      <c r="F196" s="5" t="str">
        <f t="shared" si="58"/>
        <v>男</v>
      </c>
      <c r="G196" s="5" t="str">
        <f>"1996-10-12"</f>
        <v>1996-10-12</v>
      </c>
      <c r="H196" s="5" t="str">
        <f>"泉州信息工程学院"</f>
        <v>泉州信息工程学院</v>
      </c>
    </row>
    <row r="197" s="2" customFormat="1" ht="20" customHeight="1" spans="1:8">
      <c r="A197" s="5">
        <v>195</v>
      </c>
      <c r="B197" s="5" t="str">
        <f>"223220191123221306210693"</f>
        <v>223220191123221306210693</v>
      </c>
      <c r="C197" s="5" t="s">
        <v>19</v>
      </c>
      <c r="D197" s="5" t="s">
        <v>21</v>
      </c>
      <c r="E197" s="5" t="str">
        <f>"钟镇雷"</f>
        <v>钟镇雷</v>
      </c>
      <c r="F197" s="5" t="str">
        <f t="shared" si="58"/>
        <v>男</v>
      </c>
      <c r="G197" s="5" t="str">
        <f>"1991-02-14"</f>
        <v>1991-02-14</v>
      </c>
      <c r="H197" s="5" t="str">
        <f>"武汉科技大学城市学院"</f>
        <v>武汉科技大学城市学院</v>
      </c>
    </row>
    <row r="198" s="2" customFormat="1" ht="20" customHeight="1" spans="1:8">
      <c r="A198" s="5">
        <v>196</v>
      </c>
      <c r="B198" s="5" t="str">
        <f>"223220191123224359210710"</f>
        <v>223220191123224359210710</v>
      </c>
      <c r="C198" s="5" t="s">
        <v>19</v>
      </c>
      <c r="D198" s="5" t="s">
        <v>21</v>
      </c>
      <c r="E198" s="5" t="str">
        <f>"邱仁裕"</f>
        <v>邱仁裕</v>
      </c>
      <c r="F198" s="5" t="str">
        <f t="shared" si="58"/>
        <v>男</v>
      </c>
      <c r="G198" s="5" t="str">
        <f>"1991-12-10"</f>
        <v>1991-12-10</v>
      </c>
      <c r="H198" s="5" t="str">
        <f>"海南工商职业学院"</f>
        <v>海南工商职业学院</v>
      </c>
    </row>
    <row r="199" s="2" customFormat="1" ht="20" customHeight="1" spans="1:8">
      <c r="A199" s="5">
        <v>197</v>
      </c>
      <c r="B199" s="5" t="str">
        <f>"223220191123225316210718"</f>
        <v>223220191123225316210718</v>
      </c>
      <c r="C199" s="5" t="s">
        <v>19</v>
      </c>
      <c r="D199" s="5" t="s">
        <v>21</v>
      </c>
      <c r="E199" s="5" t="str">
        <f>"李翼定"</f>
        <v>李翼定</v>
      </c>
      <c r="F199" s="5" t="str">
        <f t="shared" si="58"/>
        <v>男</v>
      </c>
      <c r="G199" s="5" t="str">
        <f>"1992-04-16"</f>
        <v>1992-04-16</v>
      </c>
      <c r="H199" s="5" t="str">
        <f>"江西科技学院"</f>
        <v>江西科技学院</v>
      </c>
    </row>
    <row r="200" s="2" customFormat="1" ht="20" customHeight="1" spans="1:8">
      <c r="A200" s="5">
        <v>198</v>
      </c>
      <c r="B200" s="5" t="str">
        <f>"223220191124093020210802"</f>
        <v>223220191124093020210802</v>
      </c>
      <c r="C200" s="5" t="s">
        <v>19</v>
      </c>
      <c r="D200" s="5" t="s">
        <v>21</v>
      </c>
      <c r="E200" s="5" t="str">
        <f>"陈希越"</f>
        <v>陈希越</v>
      </c>
      <c r="F200" s="5" t="str">
        <f t="shared" si="58"/>
        <v>男</v>
      </c>
      <c r="G200" s="5" t="str">
        <f>"1995-08-26"</f>
        <v>1995-08-26</v>
      </c>
      <c r="H200" s="5" t="str">
        <f>"华中科技大学文华学院"</f>
        <v>华中科技大学文华学院</v>
      </c>
    </row>
    <row r="201" s="2" customFormat="1" ht="20" customHeight="1" spans="1:8">
      <c r="A201" s="5">
        <v>199</v>
      </c>
      <c r="B201" s="5" t="str">
        <f>"223220191124115621210937"</f>
        <v>223220191124115621210937</v>
      </c>
      <c r="C201" s="5" t="s">
        <v>19</v>
      </c>
      <c r="D201" s="5" t="s">
        <v>21</v>
      </c>
      <c r="E201" s="5" t="str">
        <f>"刘伟业"</f>
        <v>刘伟业</v>
      </c>
      <c r="F201" s="5" t="str">
        <f t="shared" si="58"/>
        <v>男</v>
      </c>
      <c r="G201" s="5" t="str">
        <f>"1992-02-22"</f>
        <v>1992-02-22</v>
      </c>
      <c r="H201" s="5" t="str">
        <f>"华北电力大学科技学院"</f>
        <v>华北电力大学科技学院</v>
      </c>
    </row>
    <row r="202" s="2" customFormat="1" ht="20" customHeight="1" spans="1:8">
      <c r="A202" s="5">
        <v>200</v>
      </c>
      <c r="B202" s="5" t="str">
        <f>"223220191124140117211051"</f>
        <v>223220191124140117211051</v>
      </c>
      <c r="C202" s="5" t="s">
        <v>19</v>
      </c>
      <c r="D202" s="5" t="s">
        <v>21</v>
      </c>
      <c r="E202" s="5" t="str">
        <f>"黄彬彬"</f>
        <v>黄彬彬</v>
      </c>
      <c r="F202" s="5" t="str">
        <f t="shared" si="58"/>
        <v>男</v>
      </c>
      <c r="G202" s="5" t="str">
        <f>"1998-07-27"</f>
        <v>1998-07-27</v>
      </c>
      <c r="H202" s="5" t="str">
        <f>"湖北省武汉市武汉生物工程学院"</f>
        <v>湖北省武汉市武汉生物工程学院</v>
      </c>
    </row>
    <row r="203" s="2" customFormat="1" ht="20" customHeight="1" spans="1:8">
      <c r="A203" s="5">
        <v>201</v>
      </c>
      <c r="B203" s="5" t="str">
        <f>"223220191124142221211064"</f>
        <v>223220191124142221211064</v>
      </c>
      <c r="C203" s="5" t="s">
        <v>19</v>
      </c>
      <c r="D203" s="5" t="s">
        <v>21</v>
      </c>
      <c r="E203" s="5" t="str">
        <f>"文承靖"</f>
        <v>文承靖</v>
      </c>
      <c r="F203" s="5" t="str">
        <f t="shared" si="58"/>
        <v>男</v>
      </c>
      <c r="G203" s="5" t="str">
        <f>"1998-07-05"</f>
        <v>1998-07-05</v>
      </c>
      <c r="H203" s="5" t="str">
        <f t="shared" ref="H203:H206" si="59">"海口经济学院"</f>
        <v>海口经济学院</v>
      </c>
    </row>
    <row r="204" s="2" customFormat="1" ht="20" customHeight="1" spans="1:8">
      <c r="A204" s="5">
        <v>202</v>
      </c>
      <c r="B204" s="5" t="str">
        <f>"223220191124211028211375"</f>
        <v>223220191124211028211375</v>
      </c>
      <c r="C204" s="5" t="s">
        <v>19</v>
      </c>
      <c r="D204" s="5" t="s">
        <v>21</v>
      </c>
      <c r="E204" s="5" t="str">
        <f>"郭衍国"</f>
        <v>郭衍国</v>
      </c>
      <c r="F204" s="5" t="str">
        <f t="shared" si="58"/>
        <v>男</v>
      </c>
      <c r="G204" s="5" t="str">
        <f>"1992-05-03"</f>
        <v>1992-05-03</v>
      </c>
      <c r="H204" s="5" t="str">
        <f t="shared" si="59"/>
        <v>海口经济学院</v>
      </c>
    </row>
    <row r="205" s="2" customFormat="1" ht="20" customHeight="1" spans="1:8">
      <c r="A205" s="5">
        <v>203</v>
      </c>
      <c r="B205" s="5" t="str">
        <f>"223220191124234011211477"</f>
        <v>223220191124234011211477</v>
      </c>
      <c r="C205" s="5" t="s">
        <v>19</v>
      </c>
      <c r="D205" s="5" t="s">
        <v>21</v>
      </c>
      <c r="E205" s="5" t="str">
        <f>"卢明学"</f>
        <v>卢明学</v>
      </c>
      <c r="F205" s="5" t="str">
        <f t="shared" si="58"/>
        <v>男</v>
      </c>
      <c r="G205" s="5" t="str">
        <f>"1994-02-26"</f>
        <v>1994-02-26</v>
      </c>
      <c r="H205" s="5" t="str">
        <f t="shared" si="59"/>
        <v>海口经济学院</v>
      </c>
    </row>
    <row r="206" s="2" customFormat="1" ht="20" customHeight="1" spans="1:8">
      <c r="A206" s="5">
        <v>204</v>
      </c>
      <c r="B206" s="5" t="str">
        <f>"223220191125103047211781"</f>
        <v>223220191125103047211781</v>
      </c>
      <c r="C206" s="5" t="s">
        <v>19</v>
      </c>
      <c r="D206" s="5" t="s">
        <v>21</v>
      </c>
      <c r="E206" s="5" t="str">
        <f>"周冰冰"</f>
        <v>周冰冰</v>
      </c>
      <c r="F206" s="5" t="str">
        <f>"女"</f>
        <v>女</v>
      </c>
      <c r="G206" s="5" t="str">
        <f>"1997-11-09"</f>
        <v>1997-11-09</v>
      </c>
      <c r="H206" s="5" t="str">
        <f t="shared" si="59"/>
        <v>海口经济学院</v>
      </c>
    </row>
    <row r="207" s="2" customFormat="1" ht="20" customHeight="1" spans="1:8">
      <c r="A207" s="5">
        <v>205</v>
      </c>
      <c r="B207" s="5" t="str">
        <f>"223220191125113324211905"</f>
        <v>223220191125113324211905</v>
      </c>
      <c r="C207" s="5" t="s">
        <v>19</v>
      </c>
      <c r="D207" s="5" t="s">
        <v>21</v>
      </c>
      <c r="E207" s="5" t="str">
        <f>"黎土榕"</f>
        <v>黎土榕</v>
      </c>
      <c r="F207" s="5" t="str">
        <f>"女"</f>
        <v>女</v>
      </c>
      <c r="G207" s="5" t="str">
        <f>"1992-04-07"</f>
        <v>1992-04-07</v>
      </c>
      <c r="H207" s="5" t="str">
        <f>"海南科技职业学院"</f>
        <v>海南科技职业学院</v>
      </c>
    </row>
    <row r="208" s="2" customFormat="1" ht="20" customHeight="1" spans="1:8">
      <c r="A208" s="5">
        <v>206</v>
      </c>
      <c r="B208" s="5" t="str">
        <f>"223220191125133803212057"</f>
        <v>223220191125133803212057</v>
      </c>
      <c r="C208" s="5" t="s">
        <v>19</v>
      </c>
      <c r="D208" s="5" t="s">
        <v>21</v>
      </c>
      <c r="E208" s="5" t="str">
        <f>"许炳源"</f>
        <v>许炳源</v>
      </c>
      <c r="F208" s="5" t="str">
        <f t="shared" ref="F208:F212" si="60">"男"</f>
        <v>男</v>
      </c>
      <c r="G208" s="5" t="str">
        <f>"1995-09-10"</f>
        <v>1995-09-10</v>
      </c>
      <c r="H208" s="5" t="str">
        <f t="shared" ref="H208:H212" si="61">"海口经济学院"</f>
        <v>海口经济学院</v>
      </c>
    </row>
    <row r="209" s="2" customFormat="1" ht="20" customHeight="1" spans="1:8">
      <c r="A209" s="5">
        <v>207</v>
      </c>
      <c r="B209" s="5" t="str">
        <f>"223220191125144845212126"</f>
        <v>223220191125144845212126</v>
      </c>
      <c r="C209" s="5" t="s">
        <v>19</v>
      </c>
      <c r="D209" s="5" t="s">
        <v>21</v>
      </c>
      <c r="E209" s="5" t="str">
        <f>"方冬强"</f>
        <v>方冬强</v>
      </c>
      <c r="F209" s="5" t="str">
        <f t="shared" si="60"/>
        <v>男</v>
      </c>
      <c r="G209" s="5" t="str">
        <f>"1991-07-12"</f>
        <v>1991-07-12</v>
      </c>
      <c r="H209" s="5" t="str">
        <f t="shared" si="61"/>
        <v>海口经济学院</v>
      </c>
    </row>
    <row r="210" s="2" customFormat="1" ht="20" customHeight="1" spans="1:8">
      <c r="A210" s="5">
        <v>208</v>
      </c>
      <c r="B210" s="5" t="str">
        <f>"223220191125180409212441"</f>
        <v>223220191125180409212441</v>
      </c>
      <c r="C210" s="5" t="s">
        <v>19</v>
      </c>
      <c r="D210" s="5" t="s">
        <v>21</v>
      </c>
      <c r="E210" s="5" t="str">
        <f>"羊金言"</f>
        <v>羊金言</v>
      </c>
      <c r="F210" s="5" t="str">
        <f t="shared" si="60"/>
        <v>男</v>
      </c>
      <c r="G210" s="5" t="str">
        <f>"1990-07-13"</f>
        <v>1990-07-13</v>
      </c>
      <c r="H210" s="5" t="str">
        <f>"山东省淄博职业学院"</f>
        <v>山东省淄博职业学院</v>
      </c>
    </row>
    <row r="211" s="2" customFormat="1" ht="20" customHeight="1" spans="1:8">
      <c r="A211" s="5">
        <v>209</v>
      </c>
      <c r="B211" s="5" t="str">
        <f>"223220191125195518212554"</f>
        <v>223220191125195518212554</v>
      </c>
      <c r="C211" s="5" t="s">
        <v>19</v>
      </c>
      <c r="D211" s="5" t="s">
        <v>21</v>
      </c>
      <c r="E211" s="5" t="str">
        <f>"符良聪"</f>
        <v>符良聪</v>
      </c>
      <c r="F211" s="5" t="str">
        <f t="shared" si="60"/>
        <v>男</v>
      </c>
      <c r="G211" s="5" t="str">
        <f>"1996-02-17"</f>
        <v>1996-02-17</v>
      </c>
      <c r="H211" s="5" t="str">
        <f>"武汉轻工大学"</f>
        <v>武汉轻工大学</v>
      </c>
    </row>
    <row r="212" s="2" customFormat="1" ht="20" customHeight="1" spans="1:8">
      <c r="A212" s="5">
        <v>210</v>
      </c>
      <c r="B212" s="5" t="str">
        <f>"223220191125200223212563"</f>
        <v>223220191125200223212563</v>
      </c>
      <c r="C212" s="5" t="s">
        <v>19</v>
      </c>
      <c r="D212" s="5" t="s">
        <v>21</v>
      </c>
      <c r="E212" s="5" t="str">
        <f>"曾一凡"</f>
        <v>曾一凡</v>
      </c>
      <c r="F212" s="5" t="str">
        <f t="shared" si="60"/>
        <v>男</v>
      </c>
      <c r="G212" s="5" t="str">
        <f>"1993-01-04"</f>
        <v>1993-01-04</v>
      </c>
      <c r="H212" s="5" t="str">
        <f>"海口经济学院"</f>
        <v>海口经济学院</v>
      </c>
    </row>
    <row r="213" s="2" customFormat="1" ht="20" customHeight="1" spans="1:8">
      <c r="A213" s="5">
        <v>211</v>
      </c>
      <c r="B213" s="5" t="str">
        <f>"223220191125231605212803"</f>
        <v>223220191125231605212803</v>
      </c>
      <c r="C213" s="5" t="s">
        <v>19</v>
      </c>
      <c r="D213" s="5" t="s">
        <v>21</v>
      </c>
      <c r="E213" s="5" t="str">
        <f>"邢惠敏"</f>
        <v>邢惠敏</v>
      </c>
      <c r="F213" s="5" t="str">
        <f t="shared" ref="F213:F216" si="62">"女"</f>
        <v>女</v>
      </c>
      <c r="G213" s="5" t="str">
        <f>"1996-11-06"</f>
        <v>1996-11-06</v>
      </c>
      <c r="H213" s="5" t="str">
        <f>"湖南工业大学"</f>
        <v>湖南工业大学</v>
      </c>
    </row>
    <row r="214" s="2" customFormat="1" ht="20" customHeight="1" spans="1:8">
      <c r="A214" s="5">
        <v>212</v>
      </c>
      <c r="B214" s="5" t="str">
        <f>"223220191126084541212948"</f>
        <v>223220191126084541212948</v>
      </c>
      <c r="C214" s="5" t="s">
        <v>19</v>
      </c>
      <c r="D214" s="5" t="s">
        <v>21</v>
      </c>
      <c r="E214" s="5" t="str">
        <f>"张维达"</f>
        <v>张维达</v>
      </c>
      <c r="F214" s="5" t="str">
        <f>"男"</f>
        <v>男</v>
      </c>
      <c r="G214" s="5" t="str">
        <f>"1995-12-06"</f>
        <v>1995-12-06</v>
      </c>
      <c r="H214" s="5" t="str">
        <f>"海口经济学院"</f>
        <v>海口经济学院</v>
      </c>
    </row>
    <row r="215" s="2" customFormat="1" ht="20" customHeight="1" spans="1:8">
      <c r="A215" s="5">
        <v>213</v>
      </c>
      <c r="B215" s="5" t="str">
        <f>"223220191126091006213034"</f>
        <v>223220191126091006213034</v>
      </c>
      <c r="C215" s="5" t="s">
        <v>19</v>
      </c>
      <c r="D215" s="5" t="s">
        <v>21</v>
      </c>
      <c r="E215" s="5" t="str">
        <f>"欧慧施"</f>
        <v>欧慧施</v>
      </c>
      <c r="F215" s="5" t="str">
        <f>"女"</f>
        <v>女</v>
      </c>
      <c r="G215" s="5" t="str">
        <f>"1992-01-04"</f>
        <v>1992-01-04</v>
      </c>
      <c r="H215" s="5" t="str">
        <f>"海南职业技术学院"</f>
        <v>海南职业技术学院</v>
      </c>
    </row>
    <row r="216" s="2" customFormat="1" ht="20" customHeight="1" spans="1:8">
      <c r="A216" s="5">
        <v>214</v>
      </c>
      <c r="B216" s="5" t="str">
        <f>"223220191126092034213070"</f>
        <v>223220191126092034213070</v>
      </c>
      <c r="C216" s="5" t="s">
        <v>19</v>
      </c>
      <c r="D216" s="5" t="s">
        <v>21</v>
      </c>
      <c r="E216" s="5" t="str">
        <f>"黄道菁"</f>
        <v>黄道菁</v>
      </c>
      <c r="F216" s="5" t="str">
        <f>"女"</f>
        <v>女</v>
      </c>
      <c r="G216" s="5" t="str">
        <f>"1992-07-05"</f>
        <v>1992-07-05</v>
      </c>
      <c r="H216" s="5" t="str">
        <f>"江西理工大学"</f>
        <v>江西理工大学</v>
      </c>
    </row>
    <row r="217" s="2" customFormat="1" ht="20" customHeight="1" spans="1:8">
      <c r="A217" s="5">
        <v>215</v>
      </c>
      <c r="B217" s="5" t="str">
        <f>"223220191126105118213446"</f>
        <v>223220191126105118213446</v>
      </c>
      <c r="C217" s="5" t="s">
        <v>19</v>
      </c>
      <c r="D217" s="5" t="s">
        <v>21</v>
      </c>
      <c r="E217" s="5" t="str">
        <f>"谭德周"</f>
        <v>谭德周</v>
      </c>
      <c r="F217" s="5" t="str">
        <f t="shared" ref="F217:F223" si="63">"男"</f>
        <v>男</v>
      </c>
      <c r="G217" s="5" t="str">
        <f>"1995-01-18"</f>
        <v>1995-01-18</v>
      </c>
      <c r="H217" s="5" t="str">
        <f>"江西省南昌理工学院"</f>
        <v>江西省南昌理工学院</v>
      </c>
    </row>
    <row r="218" s="2" customFormat="1" ht="20" customHeight="1" spans="1:8">
      <c r="A218" s="5">
        <v>216</v>
      </c>
      <c r="B218" s="5" t="str">
        <f>"223220191126125959213787"</f>
        <v>223220191126125959213787</v>
      </c>
      <c r="C218" s="5" t="s">
        <v>19</v>
      </c>
      <c r="D218" s="5" t="s">
        <v>21</v>
      </c>
      <c r="E218" s="5" t="str">
        <f>"麦明才"</f>
        <v>麦明才</v>
      </c>
      <c r="F218" s="5" t="str">
        <f t="shared" si="63"/>
        <v>男</v>
      </c>
      <c r="G218" s="5" t="str">
        <f>"1992-10-06"</f>
        <v>1992-10-06</v>
      </c>
      <c r="H218" s="5" t="str">
        <f>"南昌航空大学科技学院"</f>
        <v>南昌航空大学科技学院</v>
      </c>
    </row>
    <row r="219" s="2" customFormat="1" ht="20" customHeight="1" spans="1:8">
      <c r="A219" s="5">
        <v>217</v>
      </c>
      <c r="B219" s="5" t="str">
        <f>"223220191126142209213930"</f>
        <v>223220191126142209213930</v>
      </c>
      <c r="C219" s="5" t="s">
        <v>19</v>
      </c>
      <c r="D219" s="5" t="s">
        <v>21</v>
      </c>
      <c r="E219" s="5" t="str">
        <f>"谢向阳"</f>
        <v>谢向阳</v>
      </c>
      <c r="F219" s="5" t="str">
        <f t="shared" si="63"/>
        <v>男</v>
      </c>
      <c r="G219" s="5" t="str">
        <f>"1995-11-05"</f>
        <v>1995-11-05</v>
      </c>
      <c r="H219" s="5" t="str">
        <f>"长沙理工大学城南学院"</f>
        <v>长沙理工大学城南学院</v>
      </c>
    </row>
    <row r="220" s="2" customFormat="1" ht="20" customHeight="1" spans="1:8">
      <c r="A220" s="5">
        <v>218</v>
      </c>
      <c r="B220" s="5" t="str">
        <f>"223220191126170206214304"</f>
        <v>223220191126170206214304</v>
      </c>
      <c r="C220" s="5" t="s">
        <v>19</v>
      </c>
      <c r="D220" s="5" t="s">
        <v>21</v>
      </c>
      <c r="E220" s="5" t="str">
        <f>"吴仕刚"</f>
        <v>吴仕刚</v>
      </c>
      <c r="F220" s="5" t="str">
        <f t="shared" si="63"/>
        <v>男</v>
      </c>
      <c r="G220" s="5" t="str">
        <f>"1989-08-19"</f>
        <v>1989-08-19</v>
      </c>
      <c r="H220" s="5" t="str">
        <f>"湖北职业技术学院"</f>
        <v>湖北职业技术学院</v>
      </c>
    </row>
    <row r="221" s="2" customFormat="1" ht="20" customHeight="1" spans="1:8">
      <c r="A221" s="5">
        <v>219</v>
      </c>
      <c r="B221" s="5" t="str">
        <f>"223220191126172537214353"</f>
        <v>223220191126172537214353</v>
      </c>
      <c r="C221" s="5" t="s">
        <v>19</v>
      </c>
      <c r="D221" s="5" t="s">
        <v>21</v>
      </c>
      <c r="E221" s="5" t="str">
        <f>"高元谋"</f>
        <v>高元谋</v>
      </c>
      <c r="F221" s="5" t="str">
        <f t="shared" si="63"/>
        <v>男</v>
      </c>
      <c r="G221" s="5" t="str">
        <f>"1994-10-22"</f>
        <v>1994-10-22</v>
      </c>
      <c r="H221" s="5" t="str">
        <f>"湖南交通职业技术学院"</f>
        <v>湖南交通职业技术学院</v>
      </c>
    </row>
    <row r="222" s="2" customFormat="1" ht="20" customHeight="1" spans="1:8">
      <c r="A222" s="5">
        <v>220</v>
      </c>
      <c r="B222" s="5" t="str">
        <f>"223220191126175245214401"</f>
        <v>223220191126175245214401</v>
      </c>
      <c r="C222" s="5" t="s">
        <v>19</v>
      </c>
      <c r="D222" s="5" t="s">
        <v>21</v>
      </c>
      <c r="E222" s="5" t="str">
        <f>"吉祥宇"</f>
        <v>吉祥宇</v>
      </c>
      <c r="F222" s="5" t="str">
        <f t="shared" si="63"/>
        <v>男</v>
      </c>
      <c r="G222" s="5" t="str">
        <f>"1995-11-08"</f>
        <v>1995-11-08</v>
      </c>
      <c r="H222" s="5" t="str">
        <f>"海口经济学院"</f>
        <v>海口经济学院</v>
      </c>
    </row>
    <row r="223" s="2" customFormat="1" ht="20" customHeight="1" spans="1:8">
      <c r="A223" s="5">
        <v>221</v>
      </c>
      <c r="B223" s="5" t="str">
        <f>"223220191126180303214419"</f>
        <v>223220191126180303214419</v>
      </c>
      <c r="C223" s="5" t="s">
        <v>19</v>
      </c>
      <c r="D223" s="5" t="s">
        <v>21</v>
      </c>
      <c r="E223" s="5" t="str">
        <f>"苟雨浓"</f>
        <v>苟雨浓</v>
      </c>
      <c r="F223" s="5" t="str">
        <f t="shared" si="63"/>
        <v>男</v>
      </c>
      <c r="G223" s="5" t="str">
        <f>"1993-06-20"</f>
        <v>1993-06-20</v>
      </c>
      <c r="H223" s="5" t="str">
        <f>"海南工商职业学院"</f>
        <v>海南工商职业学院</v>
      </c>
    </row>
    <row r="224" s="2" customFormat="1" ht="20" customHeight="1" spans="1:8">
      <c r="A224" s="5">
        <v>222</v>
      </c>
      <c r="B224" s="5" t="str">
        <f>"223220191126181715214448"</f>
        <v>223220191126181715214448</v>
      </c>
      <c r="C224" s="5" t="s">
        <v>19</v>
      </c>
      <c r="D224" s="5" t="s">
        <v>21</v>
      </c>
      <c r="E224" s="5" t="str">
        <f>"王钰婷"</f>
        <v>王钰婷</v>
      </c>
      <c r="F224" s="5" t="str">
        <f>"女"</f>
        <v>女</v>
      </c>
      <c r="G224" s="5" t="str">
        <f>"1997-05-04"</f>
        <v>1997-05-04</v>
      </c>
      <c r="H224" s="5" t="str">
        <f>"武汉生物工程学院"</f>
        <v>武汉生物工程学院</v>
      </c>
    </row>
    <row r="225" s="2" customFormat="1" ht="20" customHeight="1" spans="1:8">
      <c r="A225" s="5">
        <v>223</v>
      </c>
      <c r="B225" s="5" t="str">
        <f>"223220191126202644214655"</f>
        <v>223220191126202644214655</v>
      </c>
      <c r="C225" s="5" t="s">
        <v>19</v>
      </c>
      <c r="D225" s="5" t="s">
        <v>21</v>
      </c>
      <c r="E225" s="5" t="str">
        <f>"王俊强"</f>
        <v>王俊强</v>
      </c>
      <c r="F225" s="5" t="str">
        <f t="shared" ref="F225:F230" si="64">"男"</f>
        <v>男</v>
      </c>
      <c r="G225" s="5" t="str">
        <f>"1992-09-12"</f>
        <v>1992-09-12</v>
      </c>
      <c r="H225" s="5" t="str">
        <f>"海口经济学院"</f>
        <v>海口经济学院</v>
      </c>
    </row>
    <row r="226" s="2" customFormat="1" ht="20" customHeight="1" spans="1:8">
      <c r="A226" s="5">
        <v>224</v>
      </c>
      <c r="B226" s="5" t="str">
        <f>"223220191126233410214944"</f>
        <v>223220191126233410214944</v>
      </c>
      <c r="C226" s="5" t="s">
        <v>19</v>
      </c>
      <c r="D226" s="5" t="s">
        <v>21</v>
      </c>
      <c r="E226" s="5" t="str">
        <f>"吴育帅"</f>
        <v>吴育帅</v>
      </c>
      <c r="F226" s="5" t="str">
        <f t="shared" si="64"/>
        <v>男</v>
      </c>
      <c r="G226" s="5" t="str">
        <f>"1995-05-16"</f>
        <v>1995-05-16</v>
      </c>
      <c r="H226" s="5" t="str">
        <f>"桂林理工大学"</f>
        <v>桂林理工大学</v>
      </c>
    </row>
    <row r="227" s="2" customFormat="1" ht="20" customHeight="1" spans="1:8">
      <c r="A227" s="5">
        <v>225</v>
      </c>
      <c r="B227" s="5" t="str">
        <f>"223220191127195952215998"</f>
        <v>223220191127195952215998</v>
      </c>
      <c r="C227" s="5" t="s">
        <v>19</v>
      </c>
      <c r="D227" s="5" t="s">
        <v>21</v>
      </c>
      <c r="E227" s="5" t="str">
        <f>"黄兹俊"</f>
        <v>黄兹俊</v>
      </c>
      <c r="F227" s="5" t="str">
        <f t="shared" si="64"/>
        <v>男</v>
      </c>
      <c r="G227" s="5" t="str">
        <f>"1992-08-25"</f>
        <v>1992-08-25</v>
      </c>
      <c r="H227" s="5" t="str">
        <f>"江西科技学院"</f>
        <v>江西科技学院</v>
      </c>
    </row>
    <row r="228" s="2" customFormat="1" ht="20" customHeight="1" spans="1:8">
      <c r="A228" s="5">
        <v>226</v>
      </c>
      <c r="B228" s="5" t="str">
        <f>"223220191127211736216118"</f>
        <v>223220191127211736216118</v>
      </c>
      <c r="C228" s="5" t="s">
        <v>19</v>
      </c>
      <c r="D228" s="5" t="s">
        <v>21</v>
      </c>
      <c r="E228" s="5" t="str">
        <f>"吴才峰"</f>
        <v>吴才峰</v>
      </c>
      <c r="F228" s="5" t="str">
        <f t="shared" si="64"/>
        <v>男</v>
      </c>
      <c r="G228" s="5" t="str">
        <f>"1993-01-01"</f>
        <v>1993-01-01</v>
      </c>
      <c r="H228" s="5" t="str">
        <f>"广东技术师范学院天河学院"</f>
        <v>广东技术师范学院天河学院</v>
      </c>
    </row>
    <row r="229" s="2" customFormat="1" ht="20" customHeight="1" spans="1:8">
      <c r="A229" s="5">
        <v>227</v>
      </c>
      <c r="B229" s="5" t="str">
        <f>"223220191128232830217276"</f>
        <v>223220191128232830217276</v>
      </c>
      <c r="C229" s="5" t="s">
        <v>19</v>
      </c>
      <c r="D229" s="5" t="s">
        <v>21</v>
      </c>
      <c r="E229" s="5" t="str">
        <f>"陈海文"</f>
        <v>陈海文</v>
      </c>
      <c r="F229" s="5" t="str">
        <f t="shared" si="64"/>
        <v>男</v>
      </c>
      <c r="G229" s="5" t="str">
        <f>"1991-01-15"</f>
        <v>1991-01-15</v>
      </c>
      <c r="H229" s="5" t="str">
        <f>"海南工商职业学院"</f>
        <v>海南工商职业学院</v>
      </c>
    </row>
    <row r="230" s="2" customFormat="1" ht="20" customHeight="1" spans="1:8">
      <c r="A230" s="5">
        <v>228</v>
      </c>
      <c r="B230" s="5" t="str">
        <f>"223220191123081818209965"</f>
        <v>223220191123081818209965</v>
      </c>
      <c r="C230" s="5" t="s">
        <v>22</v>
      </c>
      <c r="D230" s="5" t="s">
        <v>23</v>
      </c>
      <c r="E230" s="5" t="str">
        <f>"曾木相"</f>
        <v>曾木相</v>
      </c>
      <c r="F230" s="5" t="str">
        <f t="shared" si="64"/>
        <v>男</v>
      </c>
      <c r="G230" s="5" t="str">
        <f>"1992-06-12"</f>
        <v>1992-06-12</v>
      </c>
      <c r="H230" s="5" t="str">
        <f>"广西民族大学"</f>
        <v>广西民族大学</v>
      </c>
    </row>
    <row r="231" s="2" customFormat="1" ht="20" customHeight="1" spans="1:8">
      <c r="A231" s="5">
        <v>229</v>
      </c>
      <c r="B231" s="5" t="str">
        <f>"223220191123174259210498"</f>
        <v>223220191123174259210498</v>
      </c>
      <c r="C231" s="5" t="s">
        <v>22</v>
      </c>
      <c r="D231" s="5" t="s">
        <v>23</v>
      </c>
      <c r="E231" s="5" t="str">
        <f>"唐娥飞"</f>
        <v>唐娥飞</v>
      </c>
      <c r="F231" s="5" t="str">
        <f t="shared" ref="F231:F233" si="65">"女"</f>
        <v>女</v>
      </c>
      <c r="G231" s="5" t="str">
        <f>"1992-03-22"</f>
        <v>1992-03-22</v>
      </c>
      <c r="H231" s="5" t="str">
        <f>"忻州师范学院"</f>
        <v>忻州师范学院</v>
      </c>
    </row>
    <row r="232" s="2" customFormat="1" ht="20" customHeight="1" spans="1:8">
      <c r="A232" s="5">
        <v>230</v>
      </c>
      <c r="B232" s="5" t="str">
        <f>"223220191123180358210511"</f>
        <v>223220191123180358210511</v>
      </c>
      <c r="C232" s="5" t="s">
        <v>22</v>
      </c>
      <c r="D232" s="5" t="s">
        <v>23</v>
      </c>
      <c r="E232" s="5" t="str">
        <f>"符蓉"</f>
        <v>符蓉</v>
      </c>
      <c r="F232" s="5" t="str">
        <f t="shared" si="65"/>
        <v>女</v>
      </c>
      <c r="G232" s="5" t="str">
        <f>"1992-09-10"</f>
        <v>1992-09-10</v>
      </c>
      <c r="H232" s="5" t="str">
        <f>"西南大学育才学院"</f>
        <v>西南大学育才学院</v>
      </c>
    </row>
    <row r="233" s="2" customFormat="1" ht="20" customHeight="1" spans="1:8">
      <c r="A233" s="5">
        <v>231</v>
      </c>
      <c r="B233" s="5" t="str">
        <f>"223220191123212244210666"</f>
        <v>223220191123212244210666</v>
      </c>
      <c r="C233" s="5" t="s">
        <v>22</v>
      </c>
      <c r="D233" s="5" t="s">
        <v>23</v>
      </c>
      <c r="E233" s="5" t="str">
        <f>"吴桃红"</f>
        <v>吴桃红</v>
      </c>
      <c r="F233" s="5" t="str">
        <f t="shared" si="65"/>
        <v>女</v>
      </c>
      <c r="G233" s="5" t="str">
        <f>"1987-02-18"</f>
        <v>1987-02-18</v>
      </c>
      <c r="H233" s="5" t="str">
        <f>"中央广播电视大学"</f>
        <v>中央广播电视大学</v>
      </c>
    </row>
    <row r="234" s="2" customFormat="1" ht="20" customHeight="1" spans="1:8">
      <c r="A234" s="5">
        <v>232</v>
      </c>
      <c r="B234" s="5" t="str">
        <f>"223220191123225733210722"</f>
        <v>223220191123225733210722</v>
      </c>
      <c r="C234" s="5" t="s">
        <v>22</v>
      </c>
      <c r="D234" s="5" t="s">
        <v>23</v>
      </c>
      <c r="E234" s="5" t="str">
        <f>"符俊卿"</f>
        <v>符俊卿</v>
      </c>
      <c r="F234" s="5" t="str">
        <f t="shared" ref="F234:F237" si="66">"男"</f>
        <v>男</v>
      </c>
      <c r="G234" s="5" t="str">
        <f>"1988-08-17"</f>
        <v>1988-08-17</v>
      </c>
      <c r="H234" s="5" t="str">
        <f>"江西师范大学科学技术学院"</f>
        <v>江西师范大学科学技术学院</v>
      </c>
    </row>
    <row r="235" s="2" customFormat="1" ht="20" customHeight="1" spans="1:8">
      <c r="A235" s="5">
        <v>233</v>
      </c>
      <c r="B235" s="5" t="str">
        <f>"223220191124111650210892"</f>
        <v>223220191124111650210892</v>
      </c>
      <c r="C235" s="5" t="s">
        <v>22</v>
      </c>
      <c r="D235" s="5" t="s">
        <v>23</v>
      </c>
      <c r="E235" s="5" t="str">
        <f>"黎源秀"</f>
        <v>黎源秀</v>
      </c>
      <c r="F235" s="5" t="str">
        <f t="shared" ref="F235:F241" si="67">"女"</f>
        <v>女</v>
      </c>
      <c r="G235" s="5" t="str">
        <f>"1989-01-16"</f>
        <v>1989-01-16</v>
      </c>
      <c r="H235" s="5" t="str">
        <f>"北华大学"</f>
        <v>北华大学</v>
      </c>
    </row>
    <row r="236" s="2" customFormat="1" ht="20" customHeight="1" spans="1:8">
      <c r="A236" s="5">
        <v>234</v>
      </c>
      <c r="B236" s="5" t="str">
        <f>"223220191124155721211128"</f>
        <v>223220191124155721211128</v>
      </c>
      <c r="C236" s="5" t="s">
        <v>22</v>
      </c>
      <c r="D236" s="5" t="s">
        <v>23</v>
      </c>
      <c r="E236" s="5" t="str">
        <f>"王诒旭"</f>
        <v>王诒旭</v>
      </c>
      <c r="F236" s="5" t="str">
        <f>"男"</f>
        <v>男</v>
      </c>
      <c r="G236" s="5" t="str">
        <f>"1993-10-15"</f>
        <v>1993-10-15</v>
      </c>
      <c r="H236" s="5" t="str">
        <f>"中国计量大学"</f>
        <v>中国计量大学</v>
      </c>
    </row>
    <row r="237" s="2" customFormat="1" ht="20" customHeight="1" spans="1:8">
      <c r="A237" s="5">
        <v>235</v>
      </c>
      <c r="B237" s="5" t="str">
        <f>"223220191124215938211415"</f>
        <v>223220191124215938211415</v>
      </c>
      <c r="C237" s="5" t="s">
        <v>22</v>
      </c>
      <c r="D237" s="5" t="s">
        <v>23</v>
      </c>
      <c r="E237" s="5" t="str">
        <f>"莫家阳"</f>
        <v>莫家阳</v>
      </c>
      <c r="F237" s="5" t="str">
        <f>"男"</f>
        <v>男</v>
      </c>
      <c r="G237" s="5" t="str">
        <f>"1996-06-02"</f>
        <v>1996-06-02</v>
      </c>
      <c r="H237" s="5" t="str">
        <f>"安顺学院"</f>
        <v>安顺学院</v>
      </c>
    </row>
    <row r="238" s="2" customFormat="1" ht="20" customHeight="1" spans="1:8">
      <c r="A238" s="5">
        <v>236</v>
      </c>
      <c r="B238" s="5" t="str">
        <f>"223220191124231620211466"</f>
        <v>223220191124231620211466</v>
      </c>
      <c r="C238" s="5" t="s">
        <v>22</v>
      </c>
      <c r="D238" s="5" t="s">
        <v>23</v>
      </c>
      <c r="E238" s="5" t="str">
        <f>"曾雯奕"</f>
        <v>曾雯奕</v>
      </c>
      <c r="F238" s="5" t="str">
        <f t="shared" ref="F238:F241" si="68">"女"</f>
        <v>女</v>
      </c>
      <c r="G238" s="5" t="str">
        <f>"1991-09-13"</f>
        <v>1991-09-13</v>
      </c>
      <c r="H238" s="5" t="str">
        <f>"三亚学院"</f>
        <v>三亚学院</v>
      </c>
    </row>
    <row r="239" s="2" customFormat="1" ht="20" customHeight="1" spans="1:8">
      <c r="A239" s="5">
        <v>237</v>
      </c>
      <c r="B239" s="5" t="str">
        <f>"223220191125133252212051"</f>
        <v>223220191125133252212051</v>
      </c>
      <c r="C239" s="5" t="s">
        <v>22</v>
      </c>
      <c r="D239" s="5" t="s">
        <v>23</v>
      </c>
      <c r="E239" s="5" t="str">
        <f>"曾肇艳"</f>
        <v>曾肇艳</v>
      </c>
      <c r="F239" s="5" t="str">
        <f t="shared" si="68"/>
        <v>女</v>
      </c>
      <c r="G239" s="5" t="str">
        <f>"1987-01-08"</f>
        <v>1987-01-08</v>
      </c>
      <c r="H239" s="5" t="str">
        <f>"商丘师范学院"</f>
        <v>商丘师范学院</v>
      </c>
    </row>
    <row r="240" s="2" customFormat="1" ht="20" customHeight="1" spans="1:8">
      <c r="A240" s="5">
        <v>238</v>
      </c>
      <c r="B240" s="5" t="str">
        <f>"223220191125145028212132"</f>
        <v>223220191125145028212132</v>
      </c>
      <c r="C240" s="5" t="s">
        <v>22</v>
      </c>
      <c r="D240" s="5" t="s">
        <v>23</v>
      </c>
      <c r="E240" s="5" t="str">
        <f>"黄扬恋"</f>
        <v>黄扬恋</v>
      </c>
      <c r="F240" s="5" t="str">
        <f t="shared" si="68"/>
        <v>女</v>
      </c>
      <c r="G240" s="5" t="str">
        <f>"1993-07-06"</f>
        <v>1993-07-06</v>
      </c>
      <c r="H240" s="5" t="str">
        <f>"西北民族大学"</f>
        <v>西北民族大学</v>
      </c>
    </row>
    <row r="241" s="2" customFormat="1" ht="20" customHeight="1" spans="1:8">
      <c r="A241" s="5">
        <v>239</v>
      </c>
      <c r="B241" s="5" t="str">
        <f>"223220191125145159212134"</f>
        <v>223220191125145159212134</v>
      </c>
      <c r="C241" s="5" t="s">
        <v>22</v>
      </c>
      <c r="D241" s="5" t="s">
        <v>23</v>
      </c>
      <c r="E241" s="5" t="str">
        <f>"陈俊伊"</f>
        <v>陈俊伊</v>
      </c>
      <c r="F241" s="5" t="str">
        <f t="shared" si="68"/>
        <v>女</v>
      </c>
      <c r="G241" s="5" t="str">
        <f>"1992-02-17"</f>
        <v>1992-02-17</v>
      </c>
      <c r="H241" s="5" t="str">
        <f>"江西师范大学科学技术学院"</f>
        <v>江西师范大学科学技术学院</v>
      </c>
    </row>
    <row r="242" s="2" customFormat="1" ht="20" customHeight="1" spans="1:8">
      <c r="A242" s="5">
        <v>240</v>
      </c>
      <c r="B242" s="5" t="str">
        <f>"223220191125171700212372"</f>
        <v>223220191125171700212372</v>
      </c>
      <c r="C242" s="5" t="s">
        <v>22</v>
      </c>
      <c r="D242" s="5" t="s">
        <v>23</v>
      </c>
      <c r="E242" s="5" t="str">
        <f>"石正儒"</f>
        <v>石正儒</v>
      </c>
      <c r="F242" s="5" t="str">
        <f t="shared" ref="F242:F246" si="69">"男"</f>
        <v>男</v>
      </c>
      <c r="G242" s="5" t="str">
        <f>"1992-08-17"</f>
        <v>1992-08-17</v>
      </c>
      <c r="H242" s="5" t="str">
        <f>"山西运城学院"</f>
        <v>山西运城学院</v>
      </c>
    </row>
    <row r="243" s="2" customFormat="1" ht="20" customHeight="1" spans="1:8">
      <c r="A243" s="5">
        <v>241</v>
      </c>
      <c r="B243" s="5" t="str">
        <f>"223220191126012846212830"</f>
        <v>223220191126012846212830</v>
      </c>
      <c r="C243" s="5" t="s">
        <v>22</v>
      </c>
      <c r="D243" s="5" t="s">
        <v>23</v>
      </c>
      <c r="E243" s="5" t="str">
        <f>"甘素绮"</f>
        <v>甘素绮</v>
      </c>
      <c r="F243" s="5" t="str">
        <f>"女"</f>
        <v>女</v>
      </c>
      <c r="G243" s="5" t="str">
        <f>"1992-05-26"</f>
        <v>1992-05-26</v>
      </c>
      <c r="H243" s="5" t="str">
        <f>"白城师范学院"</f>
        <v>白城师范学院</v>
      </c>
    </row>
    <row r="244" s="2" customFormat="1" ht="20" customHeight="1" spans="1:8">
      <c r="A244" s="5">
        <v>242</v>
      </c>
      <c r="B244" s="5" t="str">
        <f>"223220191126092118213072"</f>
        <v>223220191126092118213072</v>
      </c>
      <c r="C244" s="5" t="s">
        <v>22</v>
      </c>
      <c r="D244" s="5" t="s">
        <v>23</v>
      </c>
      <c r="E244" s="5" t="str">
        <f>"陈曾博"</f>
        <v>陈曾博</v>
      </c>
      <c r="F244" s="5" t="str">
        <f t="shared" ref="F244:F246" si="70">"男"</f>
        <v>男</v>
      </c>
      <c r="G244" s="5" t="str">
        <f>"1996-02-11"</f>
        <v>1996-02-11</v>
      </c>
      <c r="H244" s="5" t="str">
        <f>"长春工业大学人文信息学院"</f>
        <v>长春工业大学人文信息学院</v>
      </c>
    </row>
    <row r="245" s="2" customFormat="1" ht="20" customHeight="1" spans="1:8">
      <c r="A245" s="5">
        <v>243</v>
      </c>
      <c r="B245" s="5" t="str">
        <f>"223220191126113213213578"</f>
        <v>223220191126113213213578</v>
      </c>
      <c r="C245" s="5" t="s">
        <v>22</v>
      </c>
      <c r="D245" s="5" t="s">
        <v>23</v>
      </c>
      <c r="E245" s="5" t="str">
        <f>"陈琳锦"</f>
        <v>陈琳锦</v>
      </c>
      <c r="F245" s="5" t="str">
        <f t="shared" si="70"/>
        <v>男</v>
      </c>
      <c r="G245" s="5" t="str">
        <f>"1994-04-13"</f>
        <v>1994-04-13</v>
      </c>
      <c r="H245" s="5" t="str">
        <f>"忻州师范学院"</f>
        <v>忻州师范学院</v>
      </c>
    </row>
    <row r="246" s="2" customFormat="1" ht="20" customHeight="1" spans="1:8">
      <c r="A246" s="5">
        <v>244</v>
      </c>
      <c r="B246" s="5" t="str">
        <f>"223220191126154922214127"</f>
        <v>223220191126154922214127</v>
      </c>
      <c r="C246" s="5" t="s">
        <v>22</v>
      </c>
      <c r="D246" s="5" t="s">
        <v>23</v>
      </c>
      <c r="E246" s="5" t="str">
        <f>"符智扬"</f>
        <v>符智扬</v>
      </c>
      <c r="F246" s="5" t="str">
        <f t="shared" si="70"/>
        <v>男</v>
      </c>
      <c r="G246" s="5" t="str">
        <f>"1996-03-07"</f>
        <v>1996-03-07</v>
      </c>
      <c r="H246" s="5" t="str">
        <f>"中北大学"</f>
        <v>中北大学</v>
      </c>
    </row>
    <row r="247" s="2" customFormat="1" ht="20" customHeight="1" spans="1:8">
      <c r="A247" s="5">
        <v>245</v>
      </c>
      <c r="B247" s="5" t="str">
        <f>"223220191126191130214524"</f>
        <v>223220191126191130214524</v>
      </c>
      <c r="C247" s="5" t="s">
        <v>22</v>
      </c>
      <c r="D247" s="5" t="s">
        <v>23</v>
      </c>
      <c r="E247" s="5" t="str">
        <f>"李莉芬"</f>
        <v>李莉芬</v>
      </c>
      <c r="F247" s="5" t="str">
        <f t="shared" ref="F247:F251" si="71">"女"</f>
        <v>女</v>
      </c>
      <c r="G247" s="5" t="str">
        <f>"1993-04-06"</f>
        <v>1993-04-06</v>
      </c>
      <c r="H247" s="5" t="str">
        <f>"怀化学院"</f>
        <v>怀化学院</v>
      </c>
    </row>
    <row r="248" s="2" customFormat="1" ht="20" customHeight="1" spans="1:8">
      <c r="A248" s="5">
        <v>246</v>
      </c>
      <c r="B248" s="5" t="str">
        <f>"223220191127113430215321"</f>
        <v>223220191127113430215321</v>
      </c>
      <c r="C248" s="5" t="s">
        <v>22</v>
      </c>
      <c r="D248" s="5" t="s">
        <v>23</v>
      </c>
      <c r="E248" s="5" t="str">
        <f>"黄志鸿"</f>
        <v>黄志鸿</v>
      </c>
      <c r="F248" s="5" t="str">
        <f>"男"</f>
        <v>男</v>
      </c>
      <c r="G248" s="5" t="str">
        <f>"1988-05-20"</f>
        <v>1988-05-20</v>
      </c>
      <c r="H248" s="5" t="str">
        <f>"广东佛山科学技术学院"</f>
        <v>广东佛山科学技术学院</v>
      </c>
    </row>
    <row r="249" s="2" customFormat="1" ht="20" customHeight="1" spans="1:8">
      <c r="A249" s="5">
        <v>247</v>
      </c>
      <c r="B249" s="5" t="str">
        <f>"223220191127153957215650"</f>
        <v>223220191127153957215650</v>
      </c>
      <c r="C249" s="5" t="s">
        <v>22</v>
      </c>
      <c r="D249" s="5" t="s">
        <v>23</v>
      </c>
      <c r="E249" s="5" t="str">
        <f>"张春丽"</f>
        <v>张春丽</v>
      </c>
      <c r="F249" s="5" t="str">
        <f t="shared" ref="F249:F251" si="72">"女"</f>
        <v>女</v>
      </c>
      <c r="G249" s="5" t="str">
        <f>"1994-09-02"</f>
        <v>1994-09-02</v>
      </c>
      <c r="H249" s="5" t="str">
        <f t="shared" ref="H249:H254" si="73">"海南热带海洋学院"</f>
        <v>海南热带海洋学院</v>
      </c>
    </row>
    <row r="250" s="2" customFormat="1" ht="20" customHeight="1" spans="1:8">
      <c r="A250" s="5">
        <v>248</v>
      </c>
      <c r="B250" s="5" t="str">
        <f>"223220191127171850215814"</f>
        <v>223220191127171850215814</v>
      </c>
      <c r="C250" s="5" t="s">
        <v>22</v>
      </c>
      <c r="D250" s="5" t="s">
        <v>23</v>
      </c>
      <c r="E250" s="5" t="str">
        <f>"许琳"</f>
        <v>许琳</v>
      </c>
      <c r="F250" s="5" t="str">
        <f t="shared" si="72"/>
        <v>女</v>
      </c>
      <c r="G250" s="5" t="str">
        <f>"1994-05-08"</f>
        <v>1994-05-08</v>
      </c>
      <c r="H250" s="5" t="str">
        <f>"湘潭大学兴湘学院"</f>
        <v>湘潭大学兴湘学院</v>
      </c>
    </row>
    <row r="251" s="2" customFormat="1" ht="20" customHeight="1" spans="1:8">
      <c r="A251" s="5">
        <v>249</v>
      </c>
      <c r="B251" s="5" t="str">
        <f>"223220191127200052216001"</f>
        <v>223220191127200052216001</v>
      </c>
      <c r="C251" s="5" t="s">
        <v>22</v>
      </c>
      <c r="D251" s="5" t="s">
        <v>23</v>
      </c>
      <c r="E251" s="5" t="str">
        <f>"陈凤霞"</f>
        <v>陈凤霞</v>
      </c>
      <c r="F251" s="5" t="str">
        <f t="shared" si="72"/>
        <v>女</v>
      </c>
      <c r="G251" s="5" t="str">
        <f>"1994-06-30"</f>
        <v>1994-06-30</v>
      </c>
      <c r="H251" s="5" t="str">
        <f>"贵阳学院"</f>
        <v>贵阳学院</v>
      </c>
    </row>
    <row r="252" s="2" customFormat="1" ht="20" customHeight="1" spans="1:8">
      <c r="A252" s="5">
        <v>250</v>
      </c>
      <c r="B252" s="5" t="str">
        <f>"223220191127211156216106"</f>
        <v>223220191127211156216106</v>
      </c>
      <c r="C252" s="5" t="s">
        <v>22</v>
      </c>
      <c r="D252" s="5" t="s">
        <v>23</v>
      </c>
      <c r="E252" s="5" t="str">
        <f>"吴辉"</f>
        <v>吴辉</v>
      </c>
      <c r="F252" s="5" t="str">
        <f>"男"</f>
        <v>男</v>
      </c>
      <c r="G252" s="5" t="str">
        <f>"1979-12-09"</f>
        <v>1979-12-09</v>
      </c>
      <c r="H252" s="5" t="str">
        <f>"华南热带农业大学"</f>
        <v>华南热带农业大学</v>
      </c>
    </row>
    <row r="253" s="2" customFormat="1" ht="20" customHeight="1" spans="1:8">
      <c r="A253" s="5">
        <v>251</v>
      </c>
      <c r="B253" s="5" t="str">
        <f>"223220191127224909216225"</f>
        <v>223220191127224909216225</v>
      </c>
      <c r="C253" s="5" t="s">
        <v>22</v>
      </c>
      <c r="D253" s="5" t="s">
        <v>23</v>
      </c>
      <c r="E253" s="5" t="str">
        <f>" 罗九舒"</f>
        <v> 罗九舒</v>
      </c>
      <c r="F253" s="5" t="str">
        <f t="shared" ref="F253:F259" si="74">"女"</f>
        <v>女</v>
      </c>
      <c r="G253" s="5" t="str">
        <f>"1996-08-03"</f>
        <v>1996-08-03</v>
      </c>
      <c r="H253" s="5" t="str">
        <f>"海南热带海洋学院"</f>
        <v>海南热带海洋学院</v>
      </c>
    </row>
    <row r="254" s="2" customFormat="1" ht="20" customHeight="1" spans="1:8">
      <c r="A254" s="5">
        <v>252</v>
      </c>
      <c r="B254" s="5" t="str">
        <f>"223220191128094221216408"</f>
        <v>223220191128094221216408</v>
      </c>
      <c r="C254" s="5" t="s">
        <v>22</v>
      </c>
      <c r="D254" s="5" t="s">
        <v>23</v>
      </c>
      <c r="E254" s="5" t="str">
        <f>"陈南青"</f>
        <v>陈南青</v>
      </c>
      <c r="F254" s="5" t="str">
        <f>"男"</f>
        <v>男</v>
      </c>
      <c r="G254" s="5" t="str">
        <f>"1994-11-11"</f>
        <v>1994-11-11</v>
      </c>
      <c r="H254" s="5" t="str">
        <f>"海南热带海洋学院"</f>
        <v>海南热带海洋学院</v>
      </c>
    </row>
    <row r="255" s="2" customFormat="1" ht="20" customHeight="1" spans="1:8">
      <c r="A255" s="5">
        <v>253</v>
      </c>
      <c r="B255" s="5" t="str">
        <f>"223220191128114852216584"</f>
        <v>223220191128114852216584</v>
      </c>
      <c r="C255" s="5" t="s">
        <v>22</v>
      </c>
      <c r="D255" s="5" t="s">
        <v>23</v>
      </c>
      <c r="E255" s="5" t="str">
        <f>"符毅妹"</f>
        <v>符毅妹</v>
      </c>
      <c r="F255" s="5" t="str">
        <f t="shared" ref="F255:F259" si="75">"女"</f>
        <v>女</v>
      </c>
      <c r="G255" s="5" t="str">
        <f>"1992-03-18"</f>
        <v>1992-03-18</v>
      </c>
      <c r="H255" s="5" t="str">
        <f>"浙江万里学院"</f>
        <v>浙江万里学院</v>
      </c>
    </row>
    <row r="256" s="2" customFormat="1" ht="20" customHeight="1" spans="1:8">
      <c r="A256" s="5">
        <v>254</v>
      </c>
      <c r="B256" s="5" t="str">
        <f>"223220191128175648217048"</f>
        <v>223220191128175648217048</v>
      </c>
      <c r="C256" s="5" t="s">
        <v>22</v>
      </c>
      <c r="D256" s="5" t="s">
        <v>23</v>
      </c>
      <c r="E256" s="5" t="str">
        <f>"陈梦鑫"</f>
        <v>陈梦鑫</v>
      </c>
      <c r="F256" s="5" t="str">
        <f t="shared" si="75"/>
        <v>女</v>
      </c>
      <c r="G256" s="5" t="str">
        <f>"1995-03-24"</f>
        <v>1995-03-24</v>
      </c>
      <c r="H256" s="5" t="str">
        <f>"江西省科技学院"</f>
        <v>江西省科技学院</v>
      </c>
    </row>
    <row r="257" s="2" customFormat="1" ht="20" customHeight="1" spans="1:8">
      <c r="A257" s="5">
        <v>255</v>
      </c>
      <c r="B257" s="5" t="str">
        <f>"223220191128195252217126"</f>
        <v>223220191128195252217126</v>
      </c>
      <c r="C257" s="5" t="s">
        <v>22</v>
      </c>
      <c r="D257" s="5" t="s">
        <v>23</v>
      </c>
      <c r="E257" s="5" t="str">
        <f>"何金芳"</f>
        <v>何金芳</v>
      </c>
      <c r="F257" s="5" t="str">
        <f t="shared" si="75"/>
        <v>女</v>
      </c>
      <c r="G257" s="5" t="str">
        <f>"1990-10-18"</f>
        <v>1990-10-18</v>
      </c>
      <c r="H257" s="5" t="str">
        <f>"哈尔滨师范大学"</f>
        <v>哈尔滨师范大学</v>
      </c>
    </row>
    <row r="258" s="2" customFormat="1" ht="20" customHeight="1" spans="1:8">
      <c r="A258" s="5">
        <v>256</v>
      </c>
      <c r="B258" s="5" t="str">
        <f>"223220191128210130217172"</f>
        <v>223220191128210130217172</v>
      </c>
      <c r="C258" s="5" t="s">
        <v>22</v>
      </c>
      <c r="D258" s="5" t="s">
        <v>23</v>
      </c>
      <c r="E258" s="5" t="str">
        <f>"唐菊美"</f>
        <v>唐菊美</v>
      </c>
      <c r="F258" s="5" t="str">
        <f t="shared" si="75"/>
        <v>女</v>
      </c>
      <c r="G258" s="5" t="str">
        <f>"1995-08-28"</f>
        <v>1995-08-28</v>
      </c>
      <c r="H258" s="5" t="str">
        <f>"运城学院"</f>
        <v>运城学院</v>
      </c>
    </row>
    <row r="259" s="2" customFormat="1" ht="20" customHeight="1" spans="1:8">
      <c r="A259" s="5">
        <v>257</v>
      </c>
      <c r="B259" s="5" t="str">
        <f>"223220191128212158217190"</f>
        <v>223220191128212158217190</v>
      </c>
      <c r="C259" s="5" t="s">
        <v>22</v>
      </c>
      <c r="D259" s="5" t="s">
        <v>23</v>
      </c>
      <c r="E259" s="5" t="str">
        <f>"陈雅思"</f>
        <v>陈雅思</v>
      </c>
      <c r="F259" s="5" t="str">
        <f t="shared" si="75"/>
        <v>女</v>
      </c>
      <c r="G259" s="5" t="str">
        <f>"1991-11-09"</f>
        <v>1991-11-09</v>
      </c>
      <c r="H259" s="5" t="str">
        <f>"东华理工大学"</f>
        <v>东华理工大学</v>
      </c>
    </row>
    <row r="260" s="2" customFormat="1" ht="20" customHeight="1" spans="1:8">
      <c r="A260" s="5">
        <v>258</v>
      </c>
      <c r="B260" s="5" t="str">
        <f>"223220191128215037217210"</f>
        <v>223220191128215037217210</v>
      </c>
      <c r="C260" s="5" t="s">
        <v>22</v>
      </c>
      <c r="D260" s="5" t="s">
        <v>23</v>
      </c>
      <c r="E260" s="5" t="str">
        <f>"林子雄"</f>
        <v>林子雄</v>
      </c>
      <c r="F260" s="5" t="str">
        <f>"男"</f>
        <v>男</v>
      </c>
      <c r="G260" s="5" t="str">
        <f>"1995-08-18"</f>
        <v>1995-08-18</v>
      </c>
      <c r="H260" s="5" t="str">
        <f>"郑州航空工业管理学院"</f>
        <v>郑州航空工业管理学院</v>
      </c>
    </row>
    <row r="261" s="2" customFormat="1" ht="20" customHeight="1" spans="1:8">
      <c r="A261" s="5">
        <v>259</v>
      </c>
      <c r="B261" s="5" t="str">
        <f>"223220191129162828217655"</f>
        <v>223220191129162828217655</v>
      </c>
      <c r="C261" s="5" t="s">
        <v>22</v>
      </c>
      <c r="D261" s="5" t="s">
        <v>23</v>
      </c>
      <c r="E261" s="5" t="str">
        <f>"陈永奇"</f>
        <v>陈永奇</v>
      </c>
      <c r="F261" s="5" t="str">
        <f>"男"</f>
        <v>男</v>
      </c>
      <c r="G261" s="5" t="str">
        <f>"1998-12-20"</f>
        <v>1998-12-20</v>
      </c>
      <c r="H261" s="5" t="str">
        <f>"湖北警官学院"</f>
        <v>湖北警官学院</v>
      </c>
    </row>
    <row r="262" s="2" customFormat="1" ht="20" customHeight="1" spans="1:8">
      <c r="A262" s="5">
        <v>260</v>
      </c>
      <c r="B262" s="5" t="str">
        <f>"223220191130072824217905"</f>
        <v>223220191130072824217905</v>
      </c>
      <c r="C262" s="5" t="s">
        <v>22</v>
      </c>
      <c r="D262" s="5" t="s">
        <v>23</v>
      </c>
      <c r="E262" s="5" t="str">
        <f>"赵毓炎"</f>
        <v>赵毓炎</v>
      </c>
      <c r="F262" s="5" t="str">
        <f>"女"</f>
        <v>女</v>
      </c>
      <c r="G262" s="5" t="str">
        <f>"1996-06-18"</f>
        <v>1996-06-18</v>
      </c>
      <c r="H262" s="5" t="str">
        <f>"海南热带海洋学院"</f>
        <v>海南热带海洋学院</v>
      </c>
    </row>
    <row r="263" s="2" customFormat="1" ht="20" customHeight="1" spans="1:8">
      <c r="A263" s="5">
        <v>261</v>
      </c>
      <c r="B263" s="5" t="str">
        <f>"223220191130105908217981"</f>
        <v>223220191130105908217981</v>
      </c>
      <c r="C263" s="5" t="s">
        <v>22</v>
      </c>
      <c r="D263" s="5" t="s">
        <v>23</v>
      </c>
      <c r="E263" s="5" t="str">
        <f>"符洪毓"</f>
        <v>符洪毓</v>
      </c>
      <c r="F263" s="5" t="str">
        <f t="shared" ref="F263:F268" si="76">"男"</f>
        <v>男</v>
      </c>
      <c r="G263" s="5" t="str">
        <f>"1992-08-14"</f>
        <v>1992-08-14</v>
      </c>
      <c r="H263" s="5" t="str">
        <f>"四川师范大学文理学院"</f>
        <v>四川师范大学文理学院</v>
      </c>
    </row>
    <row r="264" s="2" customFormat="1" ht="20" customHeight="1" spans="1:8">
      <c r="A264" s="5">
        <v>262</v>
      </c>
      <c r="B264" s="5" t="str">
        <f>"223220191123085123209976"</f>
        <v>223220191123085123209976</v>
      </c>
      <c r="C264" s="5" t="s">
        <v>22</v>
      </c>
      <c r="D264" s="5" t="s">
        <v>24</v>
      </c>
      <c r="E264" s="5" t="str">
        <f>"梁定铖"</f>
        <v>梁定铖</v>
      </c>
      <c r="F264" s="5" t="str">
        <f t="shared" si="76"/>
        <v>男</v>
      </c>
      <c r="G264" s="5" t="str">
        <f>"1995-08-29"</f>
        <v>1995-08-29</v>
      </c>
      <c r="H264" s="5" t="str">
        <f>"成都理工大学工程技术学院"</f>
        <v>成都理工大学工程技术学院</v>
      </c>
    </row>
    <row r="265" s="2" customFormat="1" ht="20" customHeight="1" spans="1:8">
      <c r="A265" s="5">
        <v>263</v>
      </c>
      <c r="B265" s="5" t="str">
        <f>"223220191123090004209985"</f>
        <v>223220191123090004209985</v>
      </c>
      <c r="C265" s="5" t="s">
        <v>22</v>
      </c>
      <c r="D265" s="5" t="s">
        <v>24</v>
      </c>
      <c r="E265" s="5" t="str">
        <f>"张斌斌"</f>
        <v>张斌斌</v>
      </c>
      <c r="F265" s="5" t="str">
        <f t="shared" si="76"/>
        <v>男</v>
      </c>
      <c r="G265" s="5" t="str">
        <f>"1992-06-18"</f>
        <v>1992-06-18</v>
      </c>
      <c r="H265" s="5" t="str">
        <f>"广东白云学院"</f>
        <v>广东白云学院</v>
      </c>
    </row>
    <row r="266" s="2" customFormat="1" ht="20" customHeight="1" spans="1:8">
      <c r="A266" s="5">
        <v>264</v>
      </c>
      <c r="B266" s="5" t="str">
        <f>"223220191123122309210252"</f>
        <v>223220191123122309210252</v>
      </c>
      <c r="C266" s="5" t="s">
        <v>22</v>
      </c>
      <c r="D266" s="5" t="s">
        <v>24</v>
      </c>
      <c r="E266" s="5" t="str">
        <f>"李林飞"</f>
        <v>李林飞</v>
      </c>
      <c r="F266" s="5" t="str">
        <f t="shared" si="76"/>
        <v>男</v>
      </c>
      <c r="G266" s="5" t="str">
        <f>"1993-09-16"</f>
        <v>1993-09-16</v>
      </c>
      <c r="H266" s="5" t="str">
        <f t="shared" ref="H266:H269" si="77">"海口经济学院"</f>
        <v>海口经济学院</v>
      </c>
    </row>
    <row r="267" s="2" customFormat="1" ht="20" customHeight="1" spans="1:8">
      <c r="A267" s="5">
        <v>265</v>
      </c>
      <c r="B267" s="5" t="str">
        <f>"223220191123123353210263"</f>
        <v>223220191123123353210263</v>
      </c>
      <c r="C267" s="5" t="s">
        <v>22</v>
      </c>
      <c r="D267" s="5" t="s">
        <v>24</v>
      </c>
      <c r="E267" s="5" t="str">
        <f>"谢艺华"</f>
        <v>谢艺华</v>
      </c>
      <c r="F267" s="5" t="str">
        <f t="shared" si="76"/>
        <v>男</v>
      </c>
      <c r="G267" s="5" t="str">
        <f>"1993-12-29"</f>
        <v>1993-12-29</v>
      </c>
      <c r="H267" s="5" t="str">
        <f>"重庆大学城市科技学院"</f>
        <v>重庆大学城市科技学院</v>
      </c>
    </row>
    <row r="268" s="2" customFormat="1" ht="20" customHeight="1" spans="1:8">
      <c r="A268" s="5">
        <v>266</v>
      </c>
      <c r="B268" s="5" t="str">
        <f>"223220191123124315210271"</f>
        <v>223220191123124315210271</v>
      </c>
      <c r="C268" s="5" t="s">
        <v>22</v>
      </c>
      <c r="D268" s="5" t="s">
        <v>24</v>
      </c>
      <c r="E268" s="5" t="str">
        <f>"谢浩笔"</f>
        <v>谢浩笔</v>
      </c>
      <c r="F268" s="5" t="str">
        <f t="shared" si="76"/>
        <v>男</v>
      </c>
      <c r="G268" s="5" t="str">
        <f>"1990-04-13"</f>
        <v>1990-04-13</v>
      </c>
      <c r="H268" s="5" t="str">
        <f t="shared" ref="H268:H271" si="78">"海口经济学院"</f>
        <v>海口经济学院</v>
      </c>
    </row>
    <row r="269" s="2" customFormat="1" ht="20" customHeight="1" spans="1:8">
      <c r="A269" s="5">
        <v>267</v>
      </c>
      <c r="B269" s="5" t="str">
        <f>"223220191123192545210573"</f>
        <v>223220191123192545210573</v>
      </c>
      <c r="C269" s="5" t="s">
        <v>22</v>
      </c>
      <c r="D269" s="5" t="s">
        <v>24</v>
      </c>
      <c r="E269" s="5" t="str">
        <f>"陈明菠"</f>
        <v>陈明菠</v>
      </c>
      <c r="F269" s="5" t="str">
        <f>"女"</f>
        <v>女</v>
      </c>
      <c r="G269" s="5" t="str">
        <f>"1994-02-25"</f>
        <v>1994-02-25</v>
      </c>
      <c r="H269" s="5" t="str">
        <f t="shared" si="78"/>
        <v>海口经济学院</v>
      </c>
    </row>
    <row r="270" s="2" customFormat="1" ht="20" customHeight="1" spans="1:8">
      <c r="A270" s="5">
        <v>268</v>
      </c>
      <c r="B270" s="5" t="str">
        <f>"223220191123204235210638"</f>
        <v>223220191123204235210638</v>
      </c>
      <c r="C270" s="5" t="s">
        <v>22</v>
      </c>
      <c r="D270" s="5" t="s">
        <v>24</v>
      </c>
      <c r="E270" s="5" t="str">
        <f>"孙岛"</f>
        <v>孙岛</v>
      </c>
      <c r="F270" s="5" t="str">
        <f t="shared" ref="F270:F300" si="79">"男"</f>
        <v>男</v>
      </c>
      <c r="G270" s="5" t="str">
        <f>"1995-04-12"</f>
        <v>1995-04-12</v>
      </c>
      <c r="H270" s="5" t="str">
        <f>"三亚学院"</f>
        <v>三亚学院</v>
      </c>
    </row>
    <row r="271" s="2" customFormat="1" ht="20" customHeight="1" spans="1:8">
      <c r="A271" s="5">
        <v>269</v>
      </c>
      <c r="B271" s="5" t="str">
        <f>"223220191123223648210706"</f>
        <v>223220191123223648210706</v>
      </c>
      <c r="C271" s="5" t="s">
        <v>22</v>
      </c>
      <c r="D271" s="5" t="s">
        <v>24</v>
      </c>
      <c r="E271" s="5" t="str">
        <f>"谭孟涛"</f>
        <v>谭孟涛</v>
      </c>
      <c r="F271" s="5" t="str">
        <f t="shared" si="79"/>
        <v>男</v>
      </c>
      <c r="G271" s="5" t="str">
        <f>"1993-10-07"</f>
        <v>1993-10-07</v>
      </c>
      <c r="H271" s="5" t="str">
        <f>"海口经济学院"</f>
        <v>海口经济学院</v>
      </c>
    </row>
    <row r="272" s="2" customFormat="1" ht="20" customHeight="1" spans="1:8">
      <c r="A272" s="5">
        <v>270</v>
      </c>
      <c r="B272" s="5" t="str">
        <f>"223220191124174401211199"</f>
        <v>223220191124174401211199</v>
      </c>
      <c r="C272" s="5" t="s">
        <v>22</v>
      </c>
      <c r="D272" s="5" t="s">
        <v>24</v>
      </c>
      <c r="E272" s="5" t="str">
        <f>"王懋丰"</f>
        <v>王懋丰</v>
      </c>
      <c r="F272" s="5" t="str">
        <f t="shared" si="79"/>
        <v>男</v>
      </c>
      <c r="G272" s="5" t="str">
        <f>"1996-12-28"</f>
        <v>1996-12-28</v>
      </c>
      <c r="H272" s="5" t="str">
        <f>"武汉生物工程学院"</f>
        <v>武汉生物工程学院</v>
      </c>
    </row>
    <row r="273" s="2" customFormat="1" ht="20" customHeight="1" spans="1:8">
      <c r="A273" s="5">
        <v>271</v>
      </c>
      <c r="B273" s="5" t="str">
        <f>"223220191124203700211339"</f>
        <v>223220191124203700211339</v>
      </c>
      <c r="C273" s="5" t="s">
        <v>22</v>
      </c>
      <c r="D273" s="5" t="s">
        <v>24</v>
      </c>
      <c r="E273" s="5" t="str">
        <f>"廖跃武"</f>
        <v>廖跃武</v>
      </c>
      <c r="F273" s="5" t="str">
        <f t="shared" si="79"/>
        <v>男</v>
      </c>
      <c r="G273" s="5" t="str">
        <f>"1992-06-22"</f>
        <v>1992-06-22</v>
      </c>
      <c r="H273" s="5" t="str">
        <f>"淮海工学院"</f>
        <v>淮海工学院</v>
      </c>
    </row>
    <row r="274" s="2" customFormat="1" ht="20" customHeight="1" spans="1:8">
      <c r="A274" s="5">
        <v>272</v>
      </c>
      <c r="B274" s="5" t="str">
        <f>"223220191124212439211391"</f>
        <v>223220191124212439211391</v>
      </c>
      <c r="C274" s="5" t="s">
        <v>22</v>
      </c>
      <c r="D274" s="5" t="s">
        <v>24</v>
      </c>
      <c r="E274" s="5" t="str">
        <f>"李万华"</f>
        <v>李万华</v>
      </c>
      <c r="F274" s="5" t="str">
        <f t="shared" si="79"/>
        <v>男</v>
      </c>
      <c r="G274" s="5" t="str">
        <f>"1994-01-20"</f>
        <v>1994-01-20</v>
      </c>
      <c r="H274" s="5" t="str">
        <f>"江西科技学院"</f>
        <v>江西科技学院</v>
      </c>
    </row>
    <row r="275" s="2" customFormat="1" ht="20" customHeight="1" spans="1:8">
      <c r="A275" s="5">
        <v>273</v>
      </c>
      <c r="B275" s="5" t="str">
        <f>"223220191124232718211471"</f>
        <v>223220191124232718211471</v>
      </c>
      <c r="C275" s="5" t="s">
        <v>22</v>
      </c>
      <c r="D275" s="5" t="s">
        <v>24</v>
      </c>
      <c r="E275" s="5" t="str">
        <f>"郑悦"</f>
        <v>郑悦</v>
      </c>
      <c r="F275" s="5" t="str">
        <f t="shared" si="79"/>
        <v>男</v>
      </c>
      <c r="G275" s="5" t="str">
        <f>"1995-02-13"</f>
        <v>1995-02-13</v>
      </c>
      <c r="H275" s="5" t="str">
        <f t="shared" ref="H275:H279" si="80">"海口经济学院"</f>
        <v>海口经济学院</v>
      </c>
    </row>
    <row r="276" s="2" customFormat="1" ht="20" customHeight="1" spans="1:8">
      <c r="A276" s="5">
        <v>274</v>
      </c>
      <c r="B276" s="5" t="str">
        <f>"223220191125092254211638"</f>
        <v>223220191125092254211638</v>
      </c>
      <c r="C276" s="5" t="s">
        <v>22</v>
      </c>
      <c r="D276" s="5" t="s">
        <v>24</v>
      </c>
      <c r="E276" s="5" t="str">
        <f>"丁国基"</f>
        <v>丁国基</v>
      </c>
      <c r="F276" s="5" t="str">
        <f t="shared" si="79"/>
        <v>男</v>
      </c>
      <c r="G276" s="5" t="str">
        <f>"1995-09-09"</f>
        <v>1995-09-09</v>
      </c>
      <c r="H276" s="5" t="str">
        <f>"江西科技学院"</f>
        <v>江西科技学院</v>
      </c>
    </row>
    <row r="277" s="2" customFormat="1" ht="20" customHeight="1" spans="1:8">
      <c r="A277" s="5">
        <v>275</v>
      </c>
      <c r="B277" s="5" t="str">
        <f>"223220191125095741211714"</f>
        <v>223220191125095741211714</v>
      </c>
      <c r="C277" s="5" t="s">
        <v>22</v>
      </c>
      <c r="D277" s="5" t="s">
        <v>24</v>
      </c>
      <c r="E277" s="5" t="str">
        <f>"陆振涛"</f>
        <v>陆振涛</v>
      </c>
      <c r="F277" s="5" t="str">
        <f t="shared" si="79"/>
        <v>男</v>
      </c>
      <c r="G277" s="5" t="str">
        <f>"1995-05-24"</f>
        <v>1995-05-24</v>
      </c>
      <c r="H277" s="5" t="str">
        <f t="shared" ref="H277:H279" si="81">"海口经济学院"</f>
        <v>海口经济学院</v>
      </c>
    </row>
    <row r="278" s="2" customFormat="1" ht="20" customHeight="1" spans="1:8">
      <c r="A278" s="5">
        <v>276</v>
      </c>
      <c r="B278" s="5" t="str">
        <f>"223220191125130649212032"</f>
        <v>223220191125130649212032</v>
      </c>
      <c r="C278" s="5" t="s">
        <v>22</v>
      </c>
      <c r="D278" s="5" t="s">
        <v>24</v>
      </c>
      <c r="E278" s="5" t="str">
        <f>"黎万斌"</f>
        <v>黎万斌</v>
      </c>
      <c r="F278" s="5" t="str">
        <f t="shared" si="79"/>
        <v>男</v>
      </c>
      <c r="G278" s="5" t="str">
        <f>"1994-06-09"</f>
        <v>1994-06-09</v>
      </c>
      <c r="H278" s="5" t="str">
        <f t="shared" si="81"/>
        <v>海口经济学院</v>
      </c>
    </row>
    <row r="279" s="2" customFormat="1" ht="20" customHeight="1" spans="1:8">
      <c r="A279" s="5">
        <v>277</v>
      </c>
      <c r="B279" s="5" t="str">
        <f>"223220191125155047212260"</f>
        <v>223220191125155047212260</v>
      </c>
      <c r="C279" s="5" t="s">
        <v>22</v>
      </c>
      <c r="D279" s="5" t="s">
        <v>24</v>
      </c>
      <c r="E279" s="5" t="str">
        <f>"黎经奋"</f>
        <v>黎经奋</v>
      </c>
      <c r="F279" s="5" t="str">
        <f t="shared" si="79"/>
        <v>男</v>
      </c>
      <c r="G279" s="5" t="str">
        <f>"1996-03-29"</f>
        <v>1996-03-29</v>
      </c>
      <c r="H279" s="5" t="str">
        <f t="shared" si="81"/>
        <v>海口经济学院</v>
      </c>
    </row>
    <row r="280" s="2" customFormat="1" ht="20" customHeight="1" spans="1:8">
      <c r="A280" s="5">
        <v>278</v>
      </c>
      <c r="B280" s="5" t="str">
        <f>"223220191125174808212415"</f>
        <v>223220191125174808212415</v>
      </c>
      <c r="C280" s="5" t="s">
        <v>22</v>
      </c>
      <c r="D280" s="5" t="s">
        <v>24</v>
      </c>
      <c r="E280" s="5" t="str">
        <f>"羊光国"</f>
        <v>羊光国</v>
      </c>
      <c r="F280" s="5" t="str">
        <f t="shared" si="79"/>
        <v>男</v>
      </c>
      <c r="G280" s="5" t="str">
        <f>"1988-12-28"</f>
        <v>1988-12-28</v>
      </c>
      <c r="H280" s="5" t="str">
        <f>"黑龙江八一农垦大学"</f>
        <v>黑龙江八一农垦大学</v>
      </c>
    </row>
    <row r="281" s="2" customFormat="1" ht="20" customHeight="1" spans="1:8">
      <c r="A281" s="5">
        <v>279</v>
      </c>
      <c r="B281" s="5" t="str">
        <f>"223220191125194159212536"</f>
        <v>223220191125194159212536</v>
      </c>
      <c r="C281" s="5" t="s">
        <v>22</v>
      </c>
      <c r="D281" s="5" t="s">
        <v>24</v>
      </c>
      <c r="E281" s="5" t="str">
        <f>"符永利"</f>
        <v>符永利</v>
      </c>
      <c r="F281" s="5" t="str">
        <f t="shared" si="79"/>
        <v>男</v>
      </c>
      <c r="G281" s="5" t="str">
        <f>"1996-08-08"</f>
        <v>1996-08-08</v>
      </c>
      <c r="H281" s="5" t="str">
        <f>"武昌理工学院"</f>
        <v>武昌理工学院</v>
      </c>
    </row>
    <row r="282" s="2" customFormat="1" ht="20" customHeight="1" spans="1:8">
      <c r="A282" s="5">
        <v>280</v>
      </c>
      <c r="B282" s="5" t="str">
        <f>"223220191125205839212652"</f>
        <v>223220191125205839212652</v>
      </c>
      <c r="C282" s="5" t="s">
        <v>22</v>
      </c>
      <c r="D282" s="5" t="s">
        <v>24</v>
      </c>
      <c r="E282" s="5" t="str">
        <f>"卢家涛"</f>
        <v>卢家涛</v>
      </c>
      <c r="F282" s="5" t="str">
        <f t="shared" si="79"/>
        <v>男</v>
      </c>
      <c r="G282" s="5" t="str">
        <f>"1994-03-20"</f>
        <v>1994-03-20</v>
      </c>
      <c r="H282" s="5" t="str">
        <f>"海口经济学院"</f>
        <v>海口经济学院</v>
      </c>
    </row>
    <row r="283" s="2" customFormat="1" ht="20" customHeight="1" spans="1:8">
      <c r="A283" s="5">
        <v>281</v>
      </c>
      <c r="B283" s="5" t="str">
        <f>"223220191126092831213107"</f>
        <v>223220191126092831213107</v>
      </c>
      <c r="C283" s="5" t="s">
        <v>22</v>
      </c>
      <c r="D283" s="5" t="s">
        <v>24</v>
      </c>
      <c r="E283" s="5" t="str">
        <f>"张博云"</f>
        <v>张博云</v>
      </c>
      <c r="F283" s="5" t="str">
        <f t="shared" si="79"/>
        <v>男</v>
      </c>
      <c r="G283" s="5" t="str">
        <f>"1995-08-02"</f>
        <v>1995-08-02</v>
      </c>
      <c r="H283" s="5" t="str">
        <f>"南昌航空大学科技学院"</f>
        <v>南昌航空大学科技学院</v>
      </c>
    </row>
    <row r="284" s="2" customFormat="1" ht="20" customHeight="1" spans="1:8">
      <c r="A284" s="5">
        <v>282</v>
      </c>
      <c r="B284" s="5" t="str">
        <f>"223220191126094051213173"</f>
        <v>223220191126094051213173</v>
      </c>
      <c r="C284" s="5" t="s">
        <v>22</v>
      </c>
      <c r="D284" s="5" t="s">
        <v>24</v>
      </c>
      <c r="E284" s="5" t="str">
        <f>"牛学成"</f>
        <v>牛学成</v>
      </c>
      <c r="F284" s="5" t="str">
        <f t="shared" si="79"/>
        <v>男</v>
      </c>
      <c r="G284" s="5" t="str">
        <f>"1994-10-10"</f>
        <v>1994-10-10</v>
      </c>
      <c r="H284" s="5" t="str">
        <f>"内蒙古科技大学"</f>
        <v>内蒙古科技大学</v>
      </c>
    </row>
    <row r="285" s="2" customFormat="1" ht="20" customHeight="1" spans="1:8">
      <c r="A285" s="5">
        <v>283</v>
      </c>
      <c r="B285" s="5" t="str">
        <f>"223220191126111024213513"</f>
        <v>223220191126111024213513</v>
      </c>
      <c r="C285" s="5" t="s">
        <v>22</v>
      </c>
      <c r="D285" s="5" t="s">
        <v>24</v>
      </c>
      <c r="E285" s="5" t="str">
        <f>"林海"</f>
        <v>林海</v>
      </c>
      <c r="F285" s="5" t="str">
        <f t="shared" si="79"/>
        <v>男</v>
      </c>
      <c r="G285" s="5" t="str">
        <f>"1992-02-24"</f>
        <v>1992-02-24</v>
      </c>
      <c r="H285" s="5" t="str">
        <f>"海口经济学院"</f>
        <v>海口经济学院</v>
      </c>
    </row>
    <row r="286" s="2" customFormat="1" ht="20" customHeight="1" spans="1:8">
      <c r="A286" s="5">
        <v>284</v>
      </c>
      <c r="B286" s="5" t="str">
        <f>"223220191126143811213952"</f>
        <v>223220191126143811213952</v>
      </c>
      <c r="C286" s="5" t="s">
        <v>22</v>
      </c>
      <c r="D286" s="5" t="s">
        <v>24</v>
      </c>
      <c r="E286" s="5" t="str">
        <f>"黄权圣"</f>
        <v>黄权圣</v>
      </c>
      <c r="F286" s="5" t="str">
        <f t="shared" si="79"/>
        <v>男</v>
      </c>
      <c r="G286" s="5" t="str">
        <f>"1991-08-30"</f>
        <v>1991-08-30</v>
      </c>
      <c r="H286" s="5" t="str">
        <f>"济南大学"</f>
        <v>济南大学</v>
      </c>
    </row>
    <row r="287" s="2" customFormat="1" ht="20" customHeight="1" spans="1:8">
      <c r="A287" s="5">
        <v>285</v>
      </c>
      <c r="B287" s="5" t="str">
        <f>"223220191126195715214601"</f>
        <v>223220191126195715214601</v>
      </c>
      <c r="C287" s="5" t="s">
        <v>22</v>
      </c>
      <c r="D287" s="5" t="s">
        <v>24</v>
      </c>
      <c r="E287" s="5" t="str">
        <f>"李健伟"</f>
        <v>李健伟</v>
      </c>
      <c r="F287" s="5" t="str">
        <f t="shared" si="79"/>
        <v>男</v>
      </c>
      <c r="G287" s="5" t="str">
        <f>"1992-10-11"</f>
        <v>1992-10-11</v>
      </c>
      <c r="H287" s="5" t="str">
        <f>"湖南工业大学科技学院"</f>
        <v>湖南工业大学科技学院</v>
      </c>
    </row>
    <row r="288" s="2" customFormat="1" ht="20" customHeight="1" spans="1:8">
      <c r="A288" s="5">
        <v>286</v>
      </c>
      <c r="B288" s="5" t="str">
        <f>"223220191126212745214772"</f>
        <v>223220191126212745214772</v>
      </c>
      <c r="C288" s="5" t="s">
        <v>22</v>
      </c>
      <c r="D288" s="5" t="s">
        <v>24</v>
      </c>
      <c r="E288" s="5" t="str">
        <f>"陈达明"</f>
        <v>陈达明</v>
      </c>
      <c r="F288" s="5" t="str">
        <f t="shared" si="79"/>
        <v>男</v>
      </c>
      <c r="G288" s="5" t="str">
        <f>"1993-04-17"</f>
        <v>1993-04-17</v>
      </c>
      <c r="H288" s="5" t="str">
        <f>"南昌理工学院"</f>
        <v>南昌理工学院</v>
      </c>
    </row>
    <row r="289" s="2" customFormat="1" ht="20" customHeight="1" spans="1:8">
      <c r="A289" s="5">
        <v>287</v>
      </c>
      <c r="B289" s="5" t="str">
        <f>"223220191127091727215085"</f>
        <v>223220191127091727215085</v>
      </c>
      <c r="C289" s="5" t="s">
        <v>22</v>
      </c>
      <c r="D289" s="5" t="s">
        <v>24</v>
      </c>
      <c r="E289" s="5" t="str">
        <f>"叶伟作"</f>
        <v>叶伟作</v>
      </c>
      <c r="F289" s="5" t="str">
        <f t="shared" si="79"/>
        <v>男</v>
      </c>
      <c r="G289" s="5" t="str">
        <f>"1990-10-24"</f>
        <v>1990-10-24</v>
      </c>
      <c r="H289" s="5" t="str">
        <f>"北京林业大学"</f>
        <v>北京林业大学</v>
      </c>
    </row>
    <row r="290" s="2" customFormat="1" ht="20" customHeight="1" spans="1:8">
      <c r="A290" s="5">
        <v>288</v>
      </c>
      <c r="B290" s="5" t="str">
        <f>"223220191127234230216260"</f>
        <v>223220191127234230216260</v>
      </c>
      <c r="C290" s="5" t="s">
        <v>22</v>
      </c>
      <c r="D290" s="5" t="s">
        <v>24</v>
      </c>
      <c r="E290" s="5" t="str">
        <f>"王明贤"</f>
        <v>王明贤</v>
      </c>
      <c r="F290" s="5" t="str">
        <f t="shared" si="79"/>
        <v>男</v>
      </c>
      <c r="G290" s="5" t="str">
        <f>"1993-08-08"</f>
        <v>1993-08-08</v>
      </c>
      <c r="H290" s="5" t="str">
        <f>"湖北工业大学工程技术学院"</f>
        <v>湖北工业大学工程技术学院</v>
      </c>
    </row>
    <row r="291" s="2" customFormat="1" ht="20" customHeight="1" spans="1:8">
      <c r="A291" s="5">
        <v>289</v>
      </c>
      <c r="B291" s="5" t="str">
        <f>"223220191128115701216596"</f>
        <v>223220191128115701216596</v>
      </c>
      <c r="C291" s="5" t="s">
        <v>22</v>
      </c>
      <c r="D291" s="5" t="s">
        <v>24</v>
      </c>
      <c r="E291" s="5" t="str">
        <f>"李邦瑞"</f>
        <v>李邦瑞</v>
      </c>
      <c r="F291" s="5" t="str">
        <f t="shared" si="79"/>
        <v>男</v>
      </c>
      <c r="G291" s="5" t="str">
        <f>"1992-03-24"</f>
        <v>1992-03-24</v>
      </c>
      <c r="H291" s="5" t="str">
        <f>"南宁学院"</f>
        <v>南宁学院</v>
      </c>
    </row>
    <row r="292" s="2" customFormat="1" ht="20" customHeight="1" spans="1:8">
      <c r="A292" s="5">
        <v>290</v>
      </c>
      <c r="B292" s="5" t="str">
        <f>"223220191128192853217099"</f>
        <v>223220191128192853217099</v>
      </c>
      <c r="C292" s="5" t="s">
        <v>22</v>
      </c>
      <c r="D292" s="5" t="s">
        <v>24</v>
      </c>
      <c r="E292" s="5" t="str">
        <f>"符掌民"</f>
        <v>符掌民</v>
      </c>
      <c r="F292" s="5" t="str">
        <f t="shared" si="79"/>
        <v>男</v>
      </c>
      <c r="G292" s="5" t="str">
        <f>"1996-05-03"</f>
        <v>1996-05-03</v>
      </c>
      <c r="H292" s="5" t="str">
        <f>"海南职业技术学院"</f>
        <v>海南职业技术学院</v>
      </c>
    </row>
    <row r="293" s="2" customFormat="1" ht="20" customHeight="1" spans="1:8">
      <c r="A293" s="5">
        <v>291</v>
      </c>
      <c r="B293" s="5" t="str">
        <f>"223220191129084817217328"</f>
        <v>223220191129084817217328</v>
      </c>
      <c r="C293" s="5" t="s">
        <v>22</v>
      </c>
      <c r="D293" s="5" t="s">
        <v>24</v>
      </c>
      <c r="E293" s="5" t="str">
        <f>"陈强"</f>
        <v>陈强</v>
      </c>
      <c r="F293" s="5" t="str">
        <f t="shared" si="79"/>
        <v>男</v>
      </c>
      <c r="G293" s="5" t="str">
        <f>"1992-06-18"</f>
        <v>1992-06-18</v>
      </c>
      <c r="H293" s="5" t="str">
        <f>"三亚学院"</f>
        <v>三亚学院</v>
      </c>
    </row>
    <row r="294" s="2" customFormat="1" ht="20" customHeight="1" spans="1:8">
      <c r="A294" s="5">
        <v>292</v>
      </c>
      <c r="B294" s="5" t="str">
        <f>"223220191129085730217334"</f>
        <v>223220191129085730217334</v>
      </c>
      <c r="C294" s="5" t="s">
        <v>22</v>
      </c>
      <c r="D294" s="5" t="s">
        <v>24</v>
      </c>
      <c r="E294" s="5" t="str">
        <f>"王种养"</f>
        <v>王种养</v>
      </c>
      <c r="F294" s="5" t="str">
        <f t="shared" si="79"/>
        <v>男</v>
      </c>
      <c r="G294" s="5" t="str">
        <f>"1991-07-31"</f>
        <v>1991-07-31</v>
      </c>
      <c r="H294" s="5" t="str">
        <f>"江西理工大学"</f>
        <v>江西理工大学</v>
      </c>
    </row>
    <row r="295" s="2" customFormat="1" ht="20" customHeight="1" spans="1:8">
      <c r="A295" s="5">
        <v>293</v>
      </c>
      <c r="B295" s="5" t="str">
        <f>"223220191129114443217474"</f>
        <v>223220191129114443217474</v>
      </c>
      <c r="C295" s="5" t="s">
        <v>22</v>
      </c>
      <c r="D295" s="5" t="s">
        <v>24</v>
      </c>
      <c r="E295" s="5" t="str">
        <f>"符积森"</f>
        <v>符积森</v>
      </c>
      <c r="F295" s="5" t="str">
        <f t="shared" si="79"/>
        <v>男</v>
      </c>
      <c r="G295" s="5" t="str">
        <f>"1992-12-25"</f>
        <v>1992-12-25</v>
      </c>
      <c r="H295" s="5" t="str">
        <f>"河南职业技术学院"</f>
        <v>河南职业技术学院</v>
      </c>
    </row>
    <row r="296" s="2" customFormat="1" ht="20" customHeight="1" spans="1:8">
      <c r="A296" s="5">
        <v>294</v>
      </c>
      <c r="B296" s="5" t="str">
        <f>"223220191129212751217831"</f>
        <v>223220191129212751217831</v>
      </c>
      <c r="C296" s="5" t="s">
        <v>22</v>
      </c>
      <c r="D296" s="5" t="s">
        <v>24</v>
      </c>
      <c r="E296" s="5" t="str">
        <f>"李学艺"</f>
        <v>李学艺</v>
      </c>
      <c r="F296" s="5" t="str">
        <f t="shared" si="79"/>
        <v>男</v>
      </c>
      <c r="G296" s="5" t="str">
        <f>"1992-05-06"</f>
        <v>1992-05-06</v>
      </c>
      <c r="H296" s="5" t="str">
        <f>"中北大学"</f>
        <v>中北大学</v>
      </c>
    </row>
    <row r="297" s="2" customFormat="1" ht="20" customHeight="1" spans="1:8">
      <c r="A297" s="5">
        <v>295</v>
      </c>
      <c r="B297" s="5" t="str">
        <f>"223220191130130637218049"</f>
        <v>223220191130130637218049</v>
      </c>
      <c r="C297" s="5" t="s">
        <v>22</v>
      </c>
      <c r="D297" s="5" t="s">
        <v>24</v>
      </c>
      <c r="E297" s="5" t="str">
        <f>"符路思"</f>
        <v>符路思</v>
      </c>
      <c r="F297" s="5" t="str">
        <f t="shared" si="79"/>
        <v>男</v>
      </c>
      <c r="G297" s="5" t="str">
        <f>"1993-09-30"</f>
        <v>1993-09-30</v>
      </c>
      <c r="H297" s="5" t="str">
        <f>"海南大学"</f>
        <v>海南大学</v>
      </c>
    </row>
    <row r="298" s="2" customFormat="1" ht="20" customHeight="1" spans="1:8">
      <c r="A298" s="5">
        <v>296</v>
      </c>
      <c r="B298" s="5" t="str">
        <f>"223220191123113552210198"</f>
        <v>223220191123113552210198</v>
      </c>
      <c r="C298" s="5" t="s">
        <v>25</v>
      </c>
      <c r="D298" s="5" t="s">
        <v>26</v>
      </c>
      <c r="E298" s="5" t="str">
        <f>"张新彬"</f>
        <v>张新彬</v>
      </c>
      <c r="F298" s="5" t="str">
        <f t="shared" si="79"/>
        <v>男</v>
      </c>
      <c r="G298" s="5" t="str">
        <f>"1992-03-16"</f>
        <v>1992-03-16</v>
      </c>
      <c r="H298" s="5" t="str">
        <f>"海口经济学院"</f>
        <v>海口经济学院</v>
      </c>
    </row>
    <row r="299" s="2" customFormat="1" ht="20" customHeight="1" spans="1:8">
      <c r="A299" s="5">
        <v>297</v>
      </c>
      <c r="B299" s="5" t="str">
        <f>"223220191123120611210233"</f>
        <v>223220191123120611210233</v>
      </c>
      <c r="C299" s="5" t="s">
        <v>25</v>
      </c>
      <c r="D299" s="5" t="s">
        <v>26</v>
      </c>
      <c r="E299" s="5" t="str">
        <f>"陈益平"</f>
        <v>陈益平</v>
      </c>
      <c r="F299" s="5" t="str">
        <f t="shared" si="79"/>
        <v>男</v>
      </c>
      <c r="G299" s="5" t="str">
        <f>"1998-07-01"</f>
        <v>1998-07-01</v>
      </c>
      <c r="H299" s="5" t="str">
        <f>"泉州电子信息工程学院"</f>
        <v>泉州电子信息工程学院</v>
      </c>
    </row>
    <row r="300" s="2" customFormat="1" ht="20" customHeight="1" spans="1:8">
      <c r="A300" s="5">
        <v>298</v>
      </c>
      <c r="B300" s="5" t="str">
        <f>"223220191123185310210550"</f>
        <v>223220191123185310210550</v>
      </c>
      <c r="C300" s="5" t="s">
        <v>25</v>
      </c>
      <c r="D300" s="5" t="s">
        <v>26</v>
      </c>
      <c r="E300" s="5" t="str">
        <f>"吴明锦"</f>
        <v>吴明锦</v>
      </c>
      <c r="F300" s="5" t="str">
        <f t="shared" si="79"/>
        <v>男</v>
      </c>
      <c r="G300" s="5" t="str">
        <f>"1992-10-04"</f>
        <v>1992-10-04</v>
      </c>
      <c r="H300" s="5" t="str">
        <f>"山东省青岛市山东科技大学"</f>
        <v>山东省青岛市山东科技大学</v>
      </c>
    </row>
    <row r="301" s="2" customFormat="1" ht="20" customHeight="1" spans="1:8">
      <c r="A301" s="5">
        <v>299</v>
      </c>
      <c r="B301" s="5" t="str">
        <f>"223220191125080953211512"</f>
        <v>223220191125080953211512</v>
      </c>
      <c r="C301" s="5" t="s">
        <v>25</v>
      </c>
      <c r="D301" s="5" t="s">
        <v>26</v>
      </c>
      <c r="E301" s="5" t="str">
        <f>"许燕芬"</f>
        <v>许燕芬</v>
      </c>
      <c r="F301" s="5" t="str">
        <f t="shared" ref="F301:F305" si="82">"女"</f>
        <v>女</v>
      </c>
      <c r="G301" s="5" t="str">
        <f>"1995-03-23"</f>
        <v>1995-03-23</v>
      </c>
      <c r="H301" s="5" t="str">
        <f>"玉林师范学院"</f>
        <v>玉林师范学院</v>
      </c>
    </row>
    <row r="302" s="2" customFormat="1" ht="20" customHeight="1" spans="1:8">
      <c r="A302" s="5">
        <v>300</v>
      </c>
      <c r="B302" s="5" t="str">
        <f>"223220191125102822211775"</f>
        <v>223220191125102822211775</v>
      </c>
      <c r="C302" s="5" t="s">
        <v>25</v>
      </c>
      <c r="D302" s="5" t="s">
        <v>26</v>
      </c>
      <c r="E302" s="5" t="str">
        <f>"陈运鹰"</f>
        <v>陈运鹰</v>
      </c>
      <c r="F302" s="5" t="str">
        <f t="shared" si="82"/>
        <v>女</v>
      </c>
      <c r="G302" s="5" t="str">
        <f>"1990-11-22"</f>
        <v>1990-11-22</v>
      </c>
      <c r="H302" s="5" t="str">
        <f>"四川师范大学成都学院"</f>
        <v>四川师范大学成都学院</v>
      </c>
    </row>
    <row r="303" s="2" customFormat="1" ht="20" customHeight="1" spans="1:8">
      <c r="A303" s="5">
        <v>301</v>
      </c>
      <c r="B303" s="5" t="str">
        <f>"223220191125170907212361"</f>
        <v>223220191125170907212361</v>
      </c>
      <c r="C303" s="5" t="s">
        <v>25</v>
      </c>
      <c r="D303" s="5" t="s">
        <v>26</v>
      </c>
      <c r="E303" s="5" t="str">
        <f>"吴春燕"</f>
        <v>吴春燕</v>
      </c>
      <c r="F303" s="5" t="str">
        <f t="shared" si="82"/>
        <v>女</v>
      </c>
      <c r="G303" s="5" t="str">
        <f>"1991-11-04"</f>
        <v>1991-11-04</v>
      </c>
      <c r="H303" s="5" t="str">
        <f>"江西财经大学现代经济管理学院"</f>
        <v>江西财经大学现代经济管理学院</v>
      </c>
    </row>
    <row r="304" s="2" customFormat="1" ht="20" customHeight="1" spans="1:8">
      <c r="A304" s="5">
        <v>302</v>
      </c>
      <c r="B304" s="5" t="str">
        <f>"223220191125193611212526"</f>
        <v>223220191125193611212526</v>
      </c>
      <c r="C304" s="5" t="s">
        <v>25</v>
      </c>
      <c r="D304" s="5" t="s">
        <v>26</v>
      </c>
      <c r="E304" s="5" t="str">
        <f>"杜莉莉"</f>
        <v>杜莉莉</v>
      </c>
      <c r="F304" s="5" t="str">
        <f t="shared" si="82"/>
        <v>女</v>
      </c>
      <c r="G304" s="5" t="str">
        <f>"1995-03-29"</f>
        <v>1995-03-29</v>
      </c>
      <c r="H304" s="5" t="str">
        <f>"北京化工大学"</f>
        <v>北京化工大学</v>
      </c>
    </row>
    <row r="305" s="2" customFormat="1" ht="20" customHeight="1" spans="1:8">
      <c r="A305" s="5">
        <v>303</v>
      </c>
      <c r="B305" s="5" t="str">
        <f>"223220191126092615213101"</f>
        <v>223220191126092615213101</v>
      </c>
      <c r="C305" s="5" t="s">
        <v>25</v>
      </c>
      <c r="D305" s="5" t="s">
        <v>26</v>
      </c>
      <c r="E305" s="5" t="str">
        <f>"符镭"</f>
        <v>符镭</v>
      </c>
      <c r="F305" s="5" t="str">
        <f t="shared" si="82"/>
        <v>女</v>
      </c>
      <c r="G305" s="5" t="str">
        <f>"1985-09-28"</f>
        <v>1985-09-28</v>
      </c>
      <c r="H305" s="5" t="str">
        <f>"石家庄经济学院"</f>
        <v>石家庄经济学院</v>
      </c>
    </row>
    <row r="306" s="2" customFormat="1" ht="20" customHeight="1" spans="1:8">
      <c r="A306" s="5">
        <v>304</v>
      </c>
      <c r="B306" s="5" t="str">
        <f>"223220191126181625214447"</f>
        <v>223220191126181625214447</v>
      </c>
      <c r="C306" s="5" t="s">
        <v>25</v>
      </c>
      <c r="D306" s="5" t="s">
        <v>26</v>
      </c>
      <c r="E306" s="5" t="str">
        <f>"羊家亮"</f>
        <v>羊家亮</v>
      </c>
      <c r="F306" s="5" t="str">
        <f t="shared" ref="F306:F310" si="83">"男"</f>
        <v>男</v>
      </c>
      <c r="G306" s="5" t="str">
        <f>"1994-11-29"</f>
        <v>1994-11-29</v>
      </c>
      <c r="H306" s="5" t="str">
        <f>"江西科技师范大学"</f>
        <v>江西科技师范大学</v>
      </c>
    </row>
    <row r="307" s="2" customFormat="1" ht="20" customHeight="1" spans="1:8">
      <c r="A307" s="5">
        <v>305</v>
      </c>
      <c r="B307" s="5" t="str">
        <f>"223220191126200132214610"</f>
        <v>223220191126200132214610</v>
      </c>
      <c r="C307" s="5" t="s">
        <v>25</v>
      </c>
      <c r="D307" s="5" t="s">
        <v>26</v>
      </c>
      <c r="E307" s="5" t="str">
        <f>"杨达新"</f>
        <v>杨达新</v>
      </c>
      <c r="F307" s="5" t="str">
        <f t="shared" si="83"/>
        <v>男</v>
      </c>
      <c r="G307" s="5" t="str">
        <f>"1995-05-24"</f>
        <v>1995-05-24</v>
      </c>
      <c r="H307" s="5" t="str">
        <f>"玉林师范学院"</f>
        <v>玉林师范学院</v>
      </c>
    </row>
    <row r="308" s="2" customFormat="1" ht="20" customHeight="1" spans="1:8">
      <c r="A308" s="5">
        <v>306</v>
      </c>
      <c r="B308" s="5" t="str">
        <f>"223220191126223526214888"</f>
        <v>223220191126223526214888</v>
      </c>
      <c r="C308" s="5" t="s">
        <v>25</v>
      </c>
      <c r="D308" s="5" t="s">
        <v>26</v>
      </c>
      <c r="E308" s="5" t="str">
        <f>"王艳"</f>
        <v>王艳</v>
      </c>
      <c r="F308" s="5" t="str">
        <f>"女"</f>
        <v>女</v>
      </c>
      <c r="G308" s="5" t="str">
        <f>"1995-07-01"</f>
        <v>1995-07-01</v>
      </c>
      <c r="H308" s="5" t="str">
        <f>"淮南师范学院"</f>
        <v>淮南师范学院</v>
      </c>
    </row>
    <row r="309" s="2" customFormat="1" ht="20" customHeight="1" spans="1:8">
      <c r="A309" s="5">
        <v>307</v>
      </c>
      <c r="B309" s="5" t="str">
        <f>"223220191127103939215229"</f>
        <v>223220191127103939215229</v>
      </c>
      <c r="C309" s="5" t="s">
        <v>25</v>
      </c>
      <c r="D309" s="5" t="s">
        <v>26</v>
      </c>
      <c r="E309" s="5" t="str">
        <f>"李兴杰"</f>
        <v>李兴杰</v>
      </c>
      <c r="F309" s="5" t="str">
        <f>"男"</f>
        <v>男</v>
      </c>
      <c r="G309" s="5" t="str">
        <f>"1996-01-12"</f>
        <v>1996-01-12</v>
      </c>
      <c r="H309" s="5" t="str">
        <f>"河南工程学院"</f>
        <v>河南工程学院</v>
      </c>
    </row>
    <row r="310" s="2" customFormat="1" ht="20" customHeight="1" spans="1:8">
      <c r="A310" s="5">
        <v>308</v>
      </c>
      <c r="B310" s="5" t="str">
        <f>"223220191127125303215436"</f>
        <v>223220191127125303215436</v>
      </c>
      <c r="C310" s="5" t="s">
        <v>25</v>
      </c>
      <c r="D310" s="5" t="s">
        <v>26</v>
      </c>
      <c r="E310" s="5" t="str">
        <f>"朱景源"</f>
        <v>朱景源</v>
      </c>
      <c r="F310" s="5" t="str">
        <f>"男"</f>
        <v>男</v>
      </c>
      <c r="G310" s="5" t="str">
        <f>"1995-07-02"</f>
        <v>1995-07-02</v>
      </c>
      <c r="H310" s="5" t="str">
        <f>"哈尔滨信息工程学院"</f>
        <v>哈尔滨信息工程学院</v>
      </c>
    </row>
    <row r="311" s="2" customFormat="1" ht="20" customHeight="1" spans="1:8">
      <c r="A311" s="5">
        <v>309</v>
      </c>
      <c r="B311" s="5" t="str">
        <f>"223220191127161115215706"</f>
        <v>223220191127161115215706</v>
      </c>
      <c r="C311" s="5" t="s">
        <v>25</v>
      </c>
      <c r="D311" s="5" t="s">
        <v>26</v>
      </c>
      <c r="E311" s="5" t="str">
        <f>"邓丽筠"</f>
        <v>邓丽筠</v>
      </c>
      <c r="F311" s="5" t="str">
        <f>"女"</f>
        <v>女</v>
      </c>
      <c r="G311" s="5" t="str">
        <f>"1991-11-24"</f>
        <v>1991-11-24</v>
      </c>
      <c r="H311" s="5" t="str">
        <f>"江西科技学院"</f>
        <v>江西科技学院</v>
      </c>
    </row>
    <row r="312" s="2" customFormat="1" ht="20" customHeight="1" spans="1:8">
      <c r="A312" s="5">
        <v>310</v>
      </c>
      <c r="B312" s="5" t="str">
        <f>"223220191128105536216510"</f>
        <v>223220191128105536216510</v>
      </c>
      <c r="C312" s="5" t="s">
        <v>25</v>
      </c>
      <c r="D312" s="5" t="s">
        <v>26</v>
      </c>
      <c r="E312" s="5" t="str">
        <f>"苏彦人"</f>
        <v>苏彦人</v>
      </c>
      <c r="F312" s="5" t="str">
        <f t="shared" ref="F312:F316" si="84">"男"</f>
        <v>男</v>
      </c>
      <c r="G312" s="5" t="str">
        <f>"1986-03-30"</f>
        <v>1986-03-30</v>
      </c>
      <c r="H312" s="5" t="str">
        <f>"中国防卫科技学院"</f>
        <v>中国防卫科技学院</v>
      </c>
    </row>
    <row r="313" s="2" customFormat="1" ht="20" customHeight="1" spans="1:8">
      <c r="A313" s="5">
        <v>311</v>
      </c>
      <c r="B313" s="5" t="str">
        <f>"223220191128115118216589"</f>
        <v>223220191128115118216589</v>
      </c>
      <c r="C313" s="5" t="s">
        <v>25</v>
      </c>
      <c r="D313" s="5" t="s">
        <v>26</v>
      </c>
      <c r="E313" s="5" t="str">
        <f>"羊翔"</f>
        <v>羊翔</v>
      </c>
      <c r="F313" s="5" t="str">
        <f t="shared" si="84"/>
        <v>男</v>
      </c>
      <c r="G313" s="5" t="str">
        <f>"1997-07-19"</f>
        <v>1997-07-19</v>
      </c>
      <c r="H313" s="5" t="str">
        <f>"湖北警官学院"</f>
        <v>湖北警官学院</v>
      </c>
    </row>
    <row r="314" s="2" customFormat="1" ht="20" customHeight="1" spans="1:8">
      <c r="A314" s="5">
        <v>312</v>
      </c>
      <c r="B314" s="5" t="str">
        <f>"223220191128142030216767"</f>
        <v>223220191128142030216767</v>
      </c>
      <c r="C314" s="5" t="s">
        <v>25</v>
      </c>
      <c r="D314" s="5" t="s">
        <v>26</v>
      </c>
      <c r="E314" s="5" t="str">
        <f>"林耀棱"</f>
        <v>林耀棱</v>
      </c>
      <c r="F314" s="5" t="str">
        <f t="shared" si="84"/>
        <v>男</v>
      </c>
      <c r="G314" s="5" t="str">
        <f>"1988-08-30"</f>
        <v>1988-08-30</v>
      </c>
      <c r="H314" s="5" t="str">
        <f>"景德镇陶瓷学院科技艺术学院"</f>
        <v>景德镇陶瓷学院科技艺术学院</v>
      </c>
    </row>
    <row r="315" s="2" customFormat="1" ht="20" customHeight="1" spans="1:8">
      <c r="A315" s="5">
        <v>313</v>
      </c>
      <c r="B315" s="5" t="str">
        <f>"223220191129105808217435"</f>
        <v>223220191129105808217435</v>
      </c>
      <c r="C315" s="5" t="s">
        <v>25</v>
      </c>
      <c r="D315" s="5" t="s">
        <v>26</v>
      </c>
      <c r="E315" s="5" t="str">
        <f>"冯推英"</f>
        <v>冯推英</v>
      </c>
      <c r="F315" s="5" t="str">
        <f t="shared" si="84"/>
        <v>男</v>
      </c>
      <c r="G315" s="5" t="str">
        <f>"1985-03-27"</f>
        <v>1985-03-27</v>
      </c>
      <c r="H315" s="5" t="str">
        <f>"海南师范大学"</f>
        <v>海南师范大学</v>
      </c>
    </row>
    <row r="316" s="2" customFormat="1" ht="20" customHeight="1" spans="1:8">
      <c r="A316" s="5">
        <v>314</v>
      </c>
      <c r="B316" s="5" t="str">
        <f>"223220191129133437217537"</f>
        <v>223220191129133437217537</v>
      </c>
      <c r="C316" s="5" t="s">
        <v>25</v>
      </c>
      <c r="D316" s="5" t="s">
        <v>26</v>
      </c>
      <c r="E316" s="5" t="str">
        <f>"何艺东"</f>
        <v>何艺东</v>
      </c>
      <c r="F316" s="5" t="str">
        <f t="shared" si="84"/>
        <v>男</v>
      </c>
      <c r="G316" s="5" t="str">
        <f>"1995-02-21"</f>
        <v>1995-02-21</v>
      </c>
      <c r="H316" s="5" t="str">
        <f>"邵阳学院"</f>
        <v>邵阳学院</v>
      </c>
    </row>
    <row r="317" s="2" customFormat="1" ht="20" customHeight="1" spans="1:8">
      <c r="A317" s="5">
        <v>315</v>
      </c>
      <c r="B317" s="5" t="str">
        <f>"223220191130162039218156"</f>
        <v>223220191130162039218156</v>
      </c>
      <c r="C317" s="5" t="s">
        <v>25</v>
      </c>
      <c r="D317" s="5" t="s">
        <v>26</v>
      </c>
      <c r="E317" s="5" t="str">
        <f>"吴晓眯"</f>
        <v>吴晓眯</v>
      </c>
      <c r="F317" s="5" t="str">
        <f t="shared" ref="F317:F320" si="85">"女"</f>
        <v>女</v>
      </c>
      <c r="G317" s="5" t="str">
        <f>"1989-03-10"</f>
        <v>1989-03-10</v>
      </c>
      <c r="H317" s="5" t="str">
        <f>"赣南师范学院"</f>
        <v>赣南师范学院</v>
      </c>
    </row>
    <row r="318" s="2" customFormat="1" ht="20" customHeight="1" spans="1:8">
      <c r="A318" s="5">
        <v>316</v>
      </c>
      <c r="B318" s="5" t="str">
        <f>"223220191130162145218159"</f>
        <v>223220191130162145218159</v>
      </c>
      <c r="C318" s="5" t="s">
        <v>25</v>
      </c>
      <c r="D318" s="5" t="s">
        <v>26</v>
      </c>
      <c r="E318" s="5" t="str">
        <f>"王仙桃"</f>
        <v>王仙桃</v>
      </c>
      <c r="F318" s="5" t="str">
        <f t="shared" si="85"/>
        <v>女</v>
      </c>
      <c r="G318" s="5" t="str">
        <f>"1996-04-11"</f>
        <v>1996-04-11</v>
      </c>
      <c r="H318" s="5" t="str">
        <f>"海南师范大学"</f>
        <v>海南师范大学</v>
      </c>
    </row>
    <row r="319" s="2" customFormat="1" ht="20" customHeight="1" spans="1:8">
      <c r="A319" s="5">
        <v>317</v>
      </c>
      <c r="B319" s="5" t="str">
        <f>"223220191123115743210224"</f>
        <v>223220191123115743210224</v>
      </c>
      <c r="C319" s="5" t="s">
        <v>27</v>
      </c>
      <c r="D319" s="5" t="s">
        <v>28</v>
      </c>
      <c r="E319" s="5" t="str">
        <f>"黎学东"</f>
        <v>黎学东</v>
      </c>
      <c r="F319" s="5" t="str">
        <f>"男"</f>
        <v>男</v>
      </c>
      <c r="G319" s="5" t="str">
        <f>"1991-05-13"</f>
        <v>1991-05-13</v>
      </c>
      <c r="H319" s="5" t="str">
        <f>"中国人民解放军防空兵学院"</f>
        <v>中国人民解放军防空兵学院</v>
      </c>
    </row>
    <row r="320" s="2" customFormat="1" ht="20" customHeight="1" spans="1:8">
      <c r="A320" s="5">
        <v>318</v>
      </c>
      <c r="B320" s="5" t="str">
        <f>"223220191123164200210449"</f>
        <v>223220191123164200210449</v>
      </c>
      <c r="C320" s="5" t="s">
        <v>27</v>
      </c>
      <c r="D320" s="5" t="s">
        <v>28</v>
      </c>
      <c r="E320" s="5" t="str">
        <f>"林鸿翔"</f>
        <v>林鸿翔</v>
      </c>
      <c r="F320" s="5" t="str">
        <f>"女"</f>
        <v>女</v>
      </c>
      <c r="G320" s="5" t="str">
        <f>"1992-10-11"</f>
        <v>1992-10-11</v>
      </c>
      <c r="H320" s="5" t="str">
        <f>"海南大学"</f>
        <v>海南大学</v>
      </c>
    </row>
    <row r="321" s="2" customFormat="1" ht="20" customHeight="1" spans="1:8">
      <c r="A321" s="5">
        <v>319</v>
      </c>
      <c r="B321" s="5" t="str">
        <f>"223220191125091131211612"</f>
        <v>223220191125091131211612</v>
      </c>
      <c r="C321" s="5" t="s">
        <v>27</v>
      </c>
      <c r="D321" s="5" t="s">
        <v>28</v>
      </c>
      <c r="E321" s="5" t="str">
        <f>"高盛凰"</f>
        <v>高盛凰</v>
      </c>
      <c r="F321" s="5" t="str">
        <f>"男"</f>
        <v>男</v>
      </c>
      <c r="G321" s="5" t="str">
        <f>"1993-01-02"</f>
        <v>1993-01-02</v>
      </c>
      <c r="H321" s="5" t="str">
        <f>"西北师范大学"</f>
        <v>西北师范大学</v>
      </c>
    </row>
    <row r="322" s="2" customFormat="1" ht="20" customHeight="1" spans="1:8">
      <c r="A322" s="5">
        <v>320</v>
      </c>
      <c r="B322" s="5" t="str">
        <f>"223220191125095647211710"</f>
        <v>223220191125095647211710</v>
      </c>
      <c r="C322" s="5" t="s">
        <v>27</v>
      </c>
      <c r="D322" s="5" t="s">
        <v>28</v>
      </c>
      <c r="E322" s="5" t="str">
        <f>"尹妃"</f>
        <v>尹妃</v>
      </c>
      <c r="F322" s="5" t="str">
        <f t="shared" ref="F322:F334" si="86">"女"</f>
        <v>女</v>
      </c>
      <c r="G322" s="5" t="str">
        <f>"1989-05-13"</f>
        <v>1989-05-13</v>
      </c>
      <c r="H322" s="5" t="str">
        <f>"贵州师范大学求是学院"</f>
        <v>贵州师范大学求是学院</v>
      </c>
    </row>
    <row r="323" s="2" customFormat="1" ht="20" customHeight="1" spans="1:8">
      <c r="A323" s="5">
        <v>321</v>
      </c>
      <c r="B323" s="5" t="str">
        <f>"223220191125110726211851"</f>
        <v>223220191125110726211851</v>
      </c>
      <c r="C323" s="5" t="s">
        <v>27</v>
      </c>
      <c r="D323" s="5" t="s">
        <v>28</v>
      </c>
      <c r="E323" s="5" t="str">
        <f>"洪真"</f>
        <v>洪真</v>
      </c>
      <c r="F323" s="5" t="str">
        <f t="shared" si="86"/>
        <v>女</v>
      </c>
      <c r="G323" s="5" t="str">
        <f>"1994-02-28"</f>
        <v>1994-02-28</v>
      </c>
      <c r="H323" s="5" t="str">
        <f>"萍乡学院"</f>
        <v>萍乡学院</v>
      </c>
    </row>
    <row r="324" s="2" customFormat="1" ht="20" customHeight="1" spans="1:8">
      <c r="A324" s="5">
        <v>322</v>
      </c>
      <c r="B324" s="5" t="str">
        <f>"223220191126102510213355"</f>
        <v>223220191126102510213355</v>
      </c>
      <c r="C324" s="5" t="s">
        <v>27</v>
      </c>
      <c r="D324" s="5" t="s">
        <v>28</v>
      </c>
      <c r="E324" s="5" t="str">
        <f>"钟瑗"</f>
        <v>钟瑗</v>
      </c>
      <c r="F324" s="5" t="str">
        <f t="shared" si="86"/>
        <v>女</v>
      </c>
      <c r="G324" s="5" t="str">
        <f>"1994-01-08"</f>
        <v>1994-01-08</v>
      </c>
      <c r="H324" s="5" t="str">
        <f>"重庆第二师范学院"</f>
        <v>重庆第二师范学院</v>
      </c>
    </row>
    <row r="325" s="2" customFormat="1" ht="20" customHeight="1" spans="1:8">
      <c r="A325" s="5">
        <v>323</v>
      </c>
      <c r="B325" s="5" t="str">
        <f>"223220191126184515214486"</f>
        <v>223220191126184515214486</v>
      </c>
      <c r="C325" s="5" t="s">
        <v>27</v>
      </c>
      <c r="D325" s="5" t="s">
        <v>28</v>
      </c>
      <c r="E325" s="5" t="str">
        <f>"李颖"</f>
        <v>李颖</v>
      </c>
      <c r="F325" s="5" t="str">
        <f t="shared" si="86"/>
        <v>女</v>
      </c>
      <c r="G325" s="5" t="str">
        <f>"1990-11-27"</f>
        <v>1990-11-27</v>
      </c>
      <c r="H325" s="5" t="str">
        <f>"西南大学育才学院"</f>
        <v>西南大学育才学院</v>
      </c>
    </row>
    <row r="326" s="2" customFormat="1" ht="20" customHeight="1" spans="1:8">
      <c r="A326" s="5">
        <v>324</v>
      </c>
      <c r="B326" s="5" t="str">
        <f>"223220191126210540214733"</f>
        <v>223220191126210540214733</v>
      </c>
      <c r="C326" s="5" t="s">
        <v>27</v>
      </c>
      <c r="D326" s="5" t="s">
        <v>28</v>
      </c>
      <c r="E326" s="5" t="str">
        <f>"黄顺珍"</f>
        <v>黄顺珍</v>
      </c>
      <c r="F326" s="5" t="str">
        <f t="shared" si="86"/>
        <v>女</v>
      </c>
      <c r="G326" s="5" t="str">
        <f>"1996-01-25"</f>
        <v>1996-01-25</v>
      </c>
      <c r="H326" s="5" t="str">
        <f>"江西科技师范大学理工学院"</f>
        <v>江西科技师范大学理工学院</v>
      </c>
    </row>
    <row r="327" s="2" customFormat="1" ht="20" customHeight="1" spans="1:8">
      <c r="A327" s="5">
        <v>325</v>
      </c>
      <c r="B327" s="5" t="str">
        <f>"223220191126223515214886"</f>
        <v>223220191126223515214886</v>
      </c>
      <c r="C327" s="5" t="s">
        <v>27</v>
      </c>
      <c r="D327" s="5" t="s">
        <v>28</v>
      </c>
      <c r="E327" s="5" t="str">
        <f>"戴逸群"</f>
        <v>戴逸群</v>
      </c>
      <c r="F327" s="5" t="str">
        <f t="shared" si="86"/>
        <v>女</v>
      </c>
      <c r="G327" s="5" t="str">
        <f>"1992-08-28"</f>
        <v>1992-08-28</v>
      </c>
      <c r="H327" s="5" t="str">
        <f>"河北联合大学"</f>
        <v>河北联合大学</v>
      </c>
    </row>
    <row r="328" s="2" customFormat="1" ht="20" customHeight="1" spans="1:8">
      <c r="A328" s="5">
        <v>326</v>
      </c>
      <c r="B328" s="5" t="str">
        <f>"223220191126230828214926"</f>
        <v>223220191126230828214926</v>
      </c>
      <c r="C328" s="5" t="s">
        <v>27</v>
      </c>
      <c r="D328" s="5" t="s">
        <v>28</v>
      </c>
      <c r="E328" s="5" t="str">
        <f>"蔡石翠"</f>
        <v>蔡石翠</v>
      </c>
      <c r="F328" s="5" t="str">
        <f t="shared" si="86"/>
        <v>女</v>
      </c>
      <c r="G328" s="5" t="str">
        <f>"1995-08-03"</f>
        <v>1995-08-03</v>
      </c>
      <c r="H328" s="5" t="str">
        <f>"兴义民族师范学院"</f>
        <v>兴义民族师范学院</v>
      </c>
    </row>
    <row r="329" s="2" customFormat="1" ht="20" customHeight="1" spans="1:8">
      <c r="A329" s="5">
        <v>327</v>
      </c>
      <c r="B329" s="5" t="str">
        <f>"223220191127210505216098"</f>
        <v>223220191127210505216098</v>
      </c>
      <c r="C329" s="5" t="s">
        <v>27</v>
      </c>
      <c r="D329" s="5" t="s">
        <v>28</v>
      </c>
      <c r="E329" s="5" t="str">
        <f>"吴兴美"</f>
        <v>吴兴美</v>
      </c>
      <c r="F329" s="5" t="str">
        <f t="shared" si="86"/>
        <v>女</v>
      </c>
      <c r="G329" s="5" t="str">
        <f>"1996-10-10"</f>
        <v>1996-10-10</v>
      </c>
      <c r="H329" s="5" t="str">
        <f>"云南师范大学商学院"</f>
        <v>云南师范大学商学院</v>
      </c>
    </row>
    <row r="330" s="2" customFormat="1" ht="20" customHeight="1" spans="1:8">
      <c r="A330" s="5">
        <v>328</v>
      </c>
      <c r="B330" s="5" t="str">
        <f>"223220191128231215217265"</f>
        <v>223220191128231215217265</v>
      </c>
      <c r="C330" s="5" t="s">
        <v>27</v>
      </c>
      <c r="D330" s="5" t="s">
        <v>28</v>
      </c>
      <c r="E330" s="5" t="str">
        <f>"文丽蔚"</f>
        <v>文丽蔚</v>
      </c>
      <c r="F330" s="5" t="str">
        <f t="shared" si="86"/>
        <v>女</v>
      </c>
      <c r="G330" s="5" t="str">
        <f>"1998-04-15"</f>
        <v>1998-04-15</v>
      </c>
      <c r="H330" s="5" t="str">
        <f>"湖北大学知行学院"</f>
        <v>湖北大学知行学院</v>
      </c>
    </row>
    <row r="331" s="2" customFormat="1" ht="20" customHeight="1" spans="1:8">
      <c r="A331" s="5">
        <v>329</v>
      </c>
      <c r="B331" s="5" t="str">
        <f>"223220191129130958217524"</f>
        <v>223220191129130958217524</v>
      </c>
      <c r="C331" s="5" t="s">
        <v>27</v>
      </c>
      <c r="D331" s="5" t="s">
        <v>28</v>
      </c>
      <c r="E331" s="5" t="str">
        <f>"潘秋妹"</f>
        <v>潘秋妹</v>
      </c>
      <c r="F331" s="5" t="str">
        <f t="shared" si="86"/>
        <v>女</v>
      </c>
      <c r="G331" s="5" t="str">
        <f>"1989-06-07"</f>
        <v>1989-06-07</v>
      </c>
      <c r="H331" s="5" t="str">
        <f>"海南大学三亚学院"</f>
        <v>海南大学三亚学院</v>
      </c>
    </row>
    <row r="332" s="2" customFormat="1" ht="20" customHeight="1" spans="1:8">
      <c r="A332" s="5">
        <v>330</v>
      </c>
      <c r="B332" s="5" t="str">
        <f>"223220191130124236218032"</f>
        <v>223220191130124236218032</v>
      </c>
      <c r="C332" s="5" t="s">
        <v>27</v>
      </c>
      <c r="D332" s="5" t="s">
        <v>28</v>
      </c>
      <c r="E332" s="5" t="str">
        <f>"羊家风"</f>
        <v>羊家风</v>
      </c>
      <c r="F332" s="5" t="str">
        <f t="shared" si="86"/>
        <v>女</v>
      </c>
      <c r="G332" s="5" t="str">
        <f>"1992-09-13"</f>
        <v>1992-09-13</v>
      </c>
      <c r="H332" s="5" t="str">
        <f>"四川师范大学文理学院"</f>
        <v>四川师范大学文理学院</v>
      </c>
    </row>
    <row r="333" s="2" customFormat="1" ht="20" customHeight="1" spans="1:8">
      <c r="A333" s="5">
        <v>331</v>
      </c>
      <c r="B333" s="5" t="str">
        <f>"223220191123172223210480"</f>
        <v>223220191123172223210480</v>
      </c>
      <c r="C333" s="5" t="s">
        <v>29</v>
      </c>
      <c r="D333" s="5" t="s">
        <v>30</v>
      </c>
      <c r="E333" s="5" t="str">
        <f>"陈娜"</f>
        <v>陈娜</v>
      </c>
      <c r="F333" s="5" t="str">
        <f t="shared" si="86"/>
        <v>女</v>
      </c>
      <c r="G333" s="5" t="str">
        <f>"1993-12-03"</f>
        <v>1993-12-03</v>
      </c>
      <c r="H333" s="5" t="str">
        <f>"海南大学热带农林学院"</f>
        <v>海南大学热带农林学院</v>
      </c>
    </row>
    <row r="334" s="2" customFormat="1" ht="20" customHeight="1" spans="1:8">
      <c r="A334" s="5">
        <v>332</v>
      </c>
      <c r="B334" s="5" t="str">
        <f>"223220191124093447210805"</f>
        <v>223220191124093447210805</v>
      </c>
      <c r="C334" s="5" t="s">
        <v>29</v>
      </c>
      <c r="D334" s="5" t="s">
        <v>30</v>
      </c>
      <c r="E334" s="5" t="str">
        <f>"李美娇"</f>
        <v>李美娇</v>
      </c>
      <c r="F334" s="5" t="str">
        <f t="shared" si="86"/>
        <v>女</v>
      </c>
      <c r="G334" s="5" t="str">
        <f>"1996-07-03"</f>
        <v>1996-07-03</v>
      </c>
      <c r="H334" s="5" t="str">
        <f>"湖南警察学院"</f>
        <v>湖南警察学院</v>
      </c>
    </row>
    <row r="335" s="2" customFormat="1" ht="20" customHeight="1" spans="1:8">
      <c r="A335" s="5">
        <v>333</v>
      </c>
      <c r="B335" s="5" t="str">
        <f>"223220191124162325211145"</f>
        <v>223220191124162325211145</v>
      </c>
      <c r="C335" s="5" t="s">
        <v>29</v>
      </c>
      <c r="D335" s="5" t="s">
        <v>30</v>
      </c>
      <c r="E335" s="5" t="str">
        <f>"曾焕琅"</f>
        <v>曾焕琅</v>
      </c>
      <c r="F335" s="5" t="str">
        <f t="shared" ref="F335:F340" si="87">"男"</f>
        <v>男</v>
      </c>
      <c r="G335" s="5" t="str">
        <f>"1996-06-29"</f>
        <v>1996-06-29</v>
      </c>
      <c r="H335" s="5" t="str">
        <f>"南京邮电大学"</f>
        <v>南京邮电大学</v>
      </c>
    </row>
    <row r="336" s="2" customFormat="1" ht="20" customHeight="1" spans="1:8">
      <c r="A336" s="5">
        <v>334</v>
      </c>
      <c r="B336" s="5" t="str">
        <f>"223220191125090438211596"</f>
        <v>223220191125090438211596</v>
      </c>
      <c r="C336" s="5" t="s">
        <v>29</v>
      </c>
      <c r="D336" s="5" t="s">
        <v>30</v>
      </c>
      <c r="E336" s="5" t="str">
        <f>"陈章矩"</f>
        <v>陈章矩</v>
      </c>
      <c r="F336" s="5" t="str">
        <f t="shared" si="87"/>
        <v>男</v>
      </c>
      <c r="G336" s="5" t="str">
        <f>"1990-01-21"</f>
        <v>1990-01-21</v>
      </c>
      <c r="H336" s="5" t="str">
        <f>"海南大学"</f>
        <v>海南大学</v>
      </c>
    </row>
    <row r="337" s="2" customFormat="1" ht="20" customHeight="1" spans="1:8">
      <c r="A337" s="5">
        <v>335</v>
      </c>
      <c r="B337" s="5" t="str">
        <f>"223220191125175724212428"</f>
        <v>223220191125175724212428</v>
      </c>
      <c r="C337" s="5" t="s">
        <v>29</v>
      </c>
      <c r="D337" s="5" t="s">
        <v>30</v>
      </c>
      <c r="E337" s="5" t="str">
        <f>"朱树华"</f>
        <v>朱树华</v>
      </c>
      <c r="F337" s="5" t="str">
        <f t="shared" si="87"/>
        <v>男</v>
      </c>
      <c r="G337" s="5" t="str">
        <f>"1992-12-25"</f>
        <v>1992-12-25</v>
      </c>
      <c r="H337" s="5" t="str">
        <f>"中央司法警官学院"</f>
        <v>中央司法警官学院</v>
      </c>
    </row>
    <row r="338" s="2" customFormat="1" ht="20" customHeight="1" spans="1:8">
      <c r="A338" s="5">
        <v>336</v>
      </c>
      <c r="B338" s="5" t="str">
        <f>"223220191126084905212960"</f>
        <v>223220191126084905212960</v>
      </c>
      <c r="C338" s="5" t="s">
        <v>29</v>
      </c>
      <c r="D338" s="5" t="s">
        <v>30</v>
      </c>
      <c r="E338" s="5" t="str">
        <f>"符博洋"</f>
        <v>符博洋</v>
      </c>
      <c r="F338" s="5" t="str">
        <f t="shared" si="87"/>
        <v>男</v>
      </c>
      <c r="G338" s="5" t="str">
        <f>"1996-03-02"</f>
        <v>1996-03-02</v>
      </c>
      <c r="H338" s="5" t="str">
        <f>"西安培华学院"</f>
        <v>西安培华学院</v>
      </c>
    </row>
    <row r="339" s="2" customFormat="1" ht="20" customHeight="1" spans="1:8">
      <c r="A339" s="5">
        <v>337</v>
      </c>
      <c r="B339" s="5" t="str">
        <f>"223220191128001005216269"</f>
        <v>223220191128001005216269</v>
      </c>
      <c r="C339" s="5" t="s">
        <v>29</v>
      </c>
      <c r="D339" s="5" t="s">
        <v>30</v>
      </c>
      <c r="E339" s="5" t="str">
        <f>"陈俊禄"</f>
        <v>陈俊禄</v>
      </c>
      <c r="F339" s="5" t="str">
        <f t="shared" si="87"/>
        <v>男</v>
      </c>
      <c r="G339" s="5" t="str">
        <f>"1995-07-28"</f>
        <v>1995-07-28</v>
      </c>
      <c r="H339" s="5" t="str">
        <f>"西南民族大学"</f>
        <v>西南民族大学</v>
      </c>
    </row>
    <row r="340" s="2" customFormat="1" ht="20" customHeight="1" spans="1:8">
      <c r="A340" s="5">
        <v>338</v>
      </c>
      <c r="B340" s="5" t="str">
        <f>"223220191128092110216365"</f>
        <v>223220191128092110216365</v>
      </c>
      <c r="C340" s="5" t="s">
        <v>29</v>
      </c>
      <c r="D340" s="5" t="s">
        <v>30</v>
      </c>
      <c r="E340" s="5" t="str">
        <f>"陆有旭"</f>
        <v>陆有旭</v>
      </c>
      <c r="F340" s="5" t="str">
        <f t="shared" si="87"/>
        <v>男</v>
      </c>
      <c r="G340" s="5" t="str">
        <f>"1992-08-24"</f>
        <v>1992-08-24</v>
      </c>
      <c r="H340" s="5" t="str">
        <f>"辽宁财贸学院"</f>
        <v>辽宁财贸学院</v>
      </c>
    </row>
    <row r="341" s="2" customFormat="1" ht="20" customHeight="1" spans="1:8">
      <c r="A341" s="5">
        <v>339</v>
      </c>
      <c r="B341" s="5" t="str">
        <f>"223220191129155124217623"</f>
        <v>223220191129155124217623</v>
      </c>
      <c r="C341" s="5" t="s">
        <v>29</v>
      </c>
      <c r="D341" s="5" t="s">
        <v>30</v>
      </c>
      <c r="E341" s="5" t="str">
        <f>"陈莲美"</f>
        <v>陈莲美</v>
      </c>
      <c r="F341" s="5" t="str">
        <f t="shared" ref="F341:F348" si="88">"女"</f>
        <v>女</v>
      </c>
      <c r="G341" s="5" t="str">
        <f>"1996-01-05"</f>
        <v>1996-01-05</v>
      </c>
      <c r="H341" s="5" t="str">
        <f>"海南大学"</f>
        <v>海南大学</v>
      </c>
    </row>
    <row r="342" s="2" customFormat="1" ht="20" customHeight="1" spans="1:8">
      <c r="A342" s="5">
        <v>340</v>
      </c>
      <c r="B342" s="5" t="str">
        <f>"223220191123090518209988"</f>
        <v>223220191123090518209988</v>
      </c>
      <c r="C342" s="5" t="s">
        <v>31</v>
      </c>
      <c r="D342" s="5" t="s">
        <v>32</v>
      </c>
      <c r="E342" s="5" t="str">
        <f>"陈小琴"</f>
        <v>陈小琴</v>
      </c>
      <c r="F342" s="5" t="str">
        <f t="shared" si="88"/>
        <v>女</v>
      </c>
      <c r="G342" s="5" t="str">
        <f>"1992-12-09"</f>
        <v>1992-12-09</v>
      </c>
      <c r="H342" s="5" t="str">
        <f>"云南师范大学商学院"</f>
        <v>云南师范大学商学院</v>
      </c>
    </row>
    <row r="343" s="2" customFormat="1" ht="20" customHeight="1" spans="1:8">
      <c r="A343" s="5">
        <v>341</v>
      </c>
      <c r="B343" s="5" t="str">
        <f>"223220191123092505210008"</f>
        <v>223220191123092505210008</v>
      </c>
      <c r="C343" s="5" t="s">
        <v>31</v>
      </c>
      <c r="D343" s="5" t="s">
        <v>32</v>
      </c>
      <c r="E343" s="5" t="str">
        <f>"刘晓莉"</f>
        <v>刘晓莉</v>
      </c>
      <c r="F343" s="5" t="str">
        <f t="shared" si="88"/>
        <v>女</v>
      </c>
      <c r="G343" s="5" t="str">
        <f>"1996-08-18"</f>
        <v>1996-08-18</v>
      </c>
      <c r="H343" s="5" t="str">
        <f>"海南热带海洋学院"</f>
        <v>海南热带海洋学院</v>
      </c>
    </row>
    <row r="344" s="2" customFormat="1" ht="20" customHeight="1" spans="1:8">
      <c r="A344" s="5">
        <v>342</v>
      </c>
      <c r="B344" s="5" t="str">
        <f>"223220191123100459210067"</f>
        <v>223220191123100459210067</v>
      </c>
      <c r="C344" s="5" t="s">
        <v>31</v>
      </c>
      <c r="D344" s="5" t="s">
        <v>32</v>
      </c>
      <c r="E344" s="5" t="str">
        <f>"陈丹"</f>
        <v>陈丹</v>
      </c>
      <c r="F344" s="5" t="str">
        <f t="shared" si="88"/>
        <v>女</v>
      </c>
      <c r="G344" s="5" t="str">
        <f>"1987-05-28"</f>
        <v>1987-05-28</v>
      </c>
      <c r="H344" s="5" t="str">
        <f>"重庆工商大学"</f>
        <v>重庆工商大学</v>
      </c>
    </row>
    <row r="345" s="2" customFormat="1" ht="20" customHeight="1" spans="1:8">
      <c r="A345" s="5">
        <v>343</v>
      </c>
      <c r="B345" s="5" t="str">
        <f>"223220191123101331210084"</f>
        <v>223220191123101331210084</v>
      </c>
      <c r="C345" s="5" t="s">
        <v>31</v>
      </c>
      <c r="D345" s="5" t="s">
        <v>32</v>
      </c>
      <c r="E345" s="5" t="str">
        <f>"吴艳皎"</f>
        <v>吴艳皎</v>
      </c>
      <c r="F345" s="5" t="str">
        <f t="shared" si="88"/>
        <v>女</v>
      </c>
      <c r="G345" s="5" t="str">
        <f>"1992-03-10"</f>
        <v>1992-03-10</v>
      </c>
      <c r="H345" s="5" t="str">
        <f>"长春大学光华学院"</f>
        <v>长春大学光华学院</v>
      </c>
    </row>
    <row r="346" s="2" customFormat="1" ht="20" customHeight="1" spans="1:8">
      <c r="A346" s="5">
        <v>344</v>
      </c>
      <c r="B346" s="5" t="str">
        <f>"223220191123101807210094"</f>
        <v>223220191123101807210094</v>
      </c>
      <c r="C346" s="5" t="s">
        <v>31</v>
      </c>
      <c r="D346" s="5" t="s">
        <v>32</v>
      </c>
      <c r="E346" s="5" t="str">
        <f>"羊妹丹"</f>
        <v>羊妹丹</v>
      </c>
      <c r="F346" s="5" t="str">
        <f t="shared" si="88"/>
        <v>女</v>
      </c>
      <c r="G346" s="5" t="str">
        <f>"1992-10-14"</f>
        <v>1992-10-14</v>
      </c>
      <c r="H346" s="5" t="str">
        <f>"海口经济学院"</f>
        <v>海口经济学院</v>
      </c>
    </row>
    <row r="347" s="2" customFormat="1" ht="20" customHeight="1" spans="1:8">
      <c r="A347" s="5">
        <v>345</v>
      </c>
      <c r="B347" s="5" t="str">
        <f>"223220191123201354210616"</f>
        <v>223220191123201354210616</v>
      </c>
      <c r="C347" s="5" t="s">
        <v>31</v>
      </c>
      <c r="D347" s="5" t="s">
        <v>32</v>
      </c>
      <c r="E347" s="5" t="str">
        <f>"符玉萍"</f>
        <v>符玉萍</v>
      </c>
      <c r="F347" s="5" t="str">
        <f t="shared" si="88"/>
        <v>女</v>
      </c>
      <c r="G347" s="5" t="str">
        <f>"1988-10-02"</f>
        <v>1988-10-02</v>
      </c>
      <c r="H347" s="5" t="str">
        <f>"海南师范大学"</f>
        <v>海南师范大学</v>
      </c>
    </row>
    <row r="348" s="2" customFormat="1" ht="20" customHeight="1" spans="1:8">
      <c r="A348" s="5">
        <v>346</v>
      </c>
      <c r="B348" s="5" t="str">
        <f>"223220191123202545210628"</f>
        <v>223220191123202545210628</v>
      </c>
      <c r="C348" s="5" t="s">
        <v>31</v>
      </c>
      <c r="D348" s="5" t="s">
        <v>32</v>
      </c>
      <c r="E348" s="5" t="str">
        <f>"谢张慧"</f>
        <v>谢张慧</v>
      </c>
      <c r="F348" s="5" t="str">
        <f t="shared" si="88"/>
        <v>女</v>
      </c>
      <c r="G348" s="5" t="str">
        <f>"1992-03-24"</f>
        <v>1992-03-24</v>
      </c>
      <c r="H348" s="5" t="str">
        <f>"天津外国语大学滨海外事学院"</f>
        <v>天津外国语大学滨海外事学院</v>
      </c>
    </row>
    <row r="349" s="2" customFormat="1" ht="20" customHeight="1" spans="1:8">
      <c r="A349" s="5">
        <v>347</v>
      </c>
      <c r="B349" s="5" t="str">
        <f>"223220191123221954210696"</f>
        <v>223220191123221954210696</v>
      </c>
      <c r="C349" s="5" t="s">
        <v>31</v>
      </c>
      <c r="D349" s="5" t="s">
        <v>32</v>
      </c>
      <c r="E349" s="5" t="str">
        <f>"麦汉壁"</f>
        <v>麦汉壁</v>
      </c>
      <c r="F349" s="5" t="str">
        <f t="shared" ref="F349:F356" si="89">"男"</f>
        <v>男</v>
      </c>
      <c r="G349" s="5" t="str">
        <f>"1997-03-04"</f>
        <v>1997-03-04</v>
      </c>
      <c r="H349" s="5" t="str">
        <f>"东北师范大学人文学院"</f>
        <v>东北师范大学人文学院</v>
      </c>
    </row>
    <row r="350" s="2" customFormat="1" ht="20" customHeight="1" spans="1:8">
      <c r="A350" s="5">
        <v>348</v>
      </c>
      <c r="B350" s="5" t="str">
        <f>"223220191124092856210799"</f>
        <v>223220191124092856210799</v>
      </c>
      <c r="C350" s="5" t="s">
        <v>31</v>
      </c>
      <c r="D350" s="5" t="s">
        <v>32</v>
      </c>
      <c r="E350" s="5" t="str">
        <f>"符克播"</f>
        <v>符克播</v>
      </c>
      <c r="F350" s="5" t="str">
        <f t="shared" si="89"/>
        <v>男</v>
      </c>
      <c r="G350" s="5" t="str">
        <f>"1994-12-12"</f>
        <v>1994-12-12</v>
      </c>
      <c r="H350" s="5" t="str">
        <f>"宜春学院"</f>
        <v>宜春学院</v>
      </c>
    </row>
    <row r="351" s="2" customFormat="1" ht="20" customHeight="1" spans="1:8">
      <c r="A351" s="5">
        <v>349</v>
      </c>
      <c r="B351" s="5" t="str">
        <f>"223220191124100742210818"</f>
        <v>223220191124100742210818</v>
      </c>
      <c r="C351" s="5" t="s">
        <v>31</v>
      </c>
      <c r="D351" s="5" t="s">
        <v>32</v>
      </c>
      <c r="E351" s="5" t="str">
        <f>"郑一梅"</f>
        <v>郑一梅</v>
      </c>
      <c r="F351" s="5" t="str">
        <f t="shared" ref="F351:F353" si="90">"女"</f>
        <v>女</v>
      </c>
      <c r="G351" s="5" t="str">
        <f>"1997-05-23"</f>
        <v>1997-05-23</v>
      </c>
      <c r="H351" s="5" t="str">
        <f>"长春光华学院"</f>
        <v>长春光华学院</v>
      </c>
    </row>
    <row r="352" s="2" customFormat="1" ht="20" customHeight="1" spans="1:8">
      <c r="A352" s="5">
        <v>350</v>
      </c>
      <c r="B352" s="5" t="str">
        <f>"223220191124110405210875"</f>
        <v>223220191124110405210875</v>
      </c>
      <c r="C352" s="5" t="s">
        <v>31</v>
      </c>
      <c r="D352" s="5" t="s">
        <v>32</v>
      </c>
      <c r="E352" s="5" t="str">
        <f>"韦雪梅"</f>
        <v>韦雪梅</v>
      </c>
      <c r="F352" s="5" t="str">
        <f t="shared" si="90"/>
        <v>女</v>
      </c>
      <c r="G352" s="5" t="str">
        <f>"1985-04-05"</f>
        <v>1985-04-05</v>
      </c>
      <c r="H352" s="5" t="str">
        <f>"广西师范学院"</f>
        <v>广西师范学院</v>
      </c>
    </row>
    <row r="353" s="2" customFormat="1" ht="20" customHeight="1" spans="1:8">
      <c r="A353" s="5">
        <v>351</v>
      </c>
      <c r="B353" s="5" t="str">
        <f>"223220191124115129210934"</f>
        <v>223220191124115129210934</v>
      </c>
      <c r="C353" s="5" t="s">
        <v>31</v>
      </c>
      <c r="D353" s="5" t="s">
        <v>32</v>
      </c>
      <c r="E353" s="5" t="str">
        <f>"李元花"</f>
        <v>李元花</v>
      </c>
      <c r="F353" s="5" t="str">
        <f t="shared" si="90"/>
        <v>女</v>
      </c>
      <c r="G353" s="5" t="str">
        <f>"1997-02-01"</f>
        <v>1997-02-01</v>
      </c>
      <c r="H353" s="5" t="str">
        <f>"吉林师范大学博达学院"</f>
        <v>吉林师范大学博达学院</v>
      </c>
    </row>
    <row r="354" s="2" customFormat="1" ht="20" customHeight="1" spans="1:8">
      <c r="A354" s="5">
        <v>352</v>
      </c>
      <c r="B354" s="5" t="str">
        <f>"223220191124205312211355"</f>
        <v>223220191124205312211355</v>
      </c>
      <c r="C354" s="5" t="s">
        <v>31</v>
      </c>
      <c r="D354" s="5" t="s">
        <v>32</v>
      </c>
      <c r="E354" s="5" t="str">
        <f>"李磊"</f>
        <v>李磊</v>
      </c>
      <c r="F354" s="5" t="str">
        <f t="shared" ref="F354:F356" si="91">"男"</f>
        <v>男</v>
      </c>
      <c r="G354" s="5" t="str">
        <f>"1995-08-13"</f>
        <v>1995-08-13</v>
      </c>
      <c r="H354" s="5" t="str">
        <f>"中央司法警官学院"</f>
        <v>中央司法警官学院</v>
      </c>
    </row>
    <row r="355" s="2" customFormat="1" ht="20" customHeight="1" spans="1:8">
      <c r="A355" s="5">
        <v>353</v>
      </c>
      <c r="B355" s="5" t="str">
        <f>"223220191125084812211557"</f>
        <v>223220191125084812211557</v>
      </c>
      <c r="C355" s="5" t="s">
        <v>31</v>
      </c>
      <c r="D355" s="5" t="s">
        <v>32</v>
      </c>
      <c r="E355" s="5" t="str">
        <f>"吴碧江"</f>
        <v>吴碧江</v>
      </c>
      <c r="F355" s="5" t="str">
        <f t="shared" si="91"/>
        <v>男</v>
      </c>
      <c r="G355" s="5" t="str">
        <f>"1995-10-19"</f>
        <v>1995-10-19</v>
      </c>
      <c r="H355" s="5" t="str">
        <f>"长春光华学院"</f>
        <v>长春光华学院</v>
      </c>
    </row>
    <row r="356" s="2" customFormat="1" ht="20" customHeight="1" spans="1:8">
      <c r="A356" s="5">
        <v>354</v>
      </c>
      <c r="B356" s="5" t="str">
        <f>"223220191125102101211758"</f>
        <v>223220191125102101211758</v>
      </c>
      <c r="C356" s="5" t="s">
        <v>31</v>
      </c>
      <c r="D356" s="5" t="s">
        <v>32</v>
      </c>
      <c r="E356" s="5" t="str">
        <f>"郭永琼"</f>
        <v>郭永琼</v>
      </c>
      <c r="F356" s="5" t="str">
        <f t="shared" si="91"/>
        <v>男</v>
      </c>
      <c r="G356" s="5" t="str">
        <f>"1996-12-29"</f>
        <v>1996-12-29</v>
      </c>
      <c r="H356" s="5" t="str">
        <f>"中央司法警官学院"</f>
        <v>中央司法警官学院</v>
      </c>
    </row>
    <row r="357" s="2" customFormat="1" ht="20" customHeight="1" spans="1:8">
      <c r="A357" s="5">
        <v>355</v>
      </c>
      <c r="B357" s="5" t="str">
        <f>"223220191125103202211783"</f>
        <v>223220191125103202211783</v>
      </c>
      <c r="C357" s="5" t="s">
        <v>31</v>
      </c>
      <c r="D357" s="5" t="s">
        <v>32</v>
      </c>
      <c r="E357" s="5" t="str">
        <f>"黎金丽"</f>
        <v>黎金丽</v>
      </c>
      <c r="F357" s="5" t="str">
        <f t="shared" ref="F357:F362" si="92">"女"</f>
        <v>女</v>
      </c>
      <c r="G357" s="5" t="str">
        <f>"1992-03-18"</f>
        <v>1992-03-18</v>
      </c>
      <c r="H357" s="5" t="str">
        <f>"运城学院"</f>
        <v>运城学院</v>
      </c>
    </row>
    <row r="358" s="2" customFormat="1" ht="20" customHeight="1" spans="1:8">
      <c r="A358" s="5">
        <v>356</v>
      </c>
      <c r="B358" s="5" t="str">
        <f>"223220191125104056211799"</f>
        <v>223220191125104056211799</v>
      </c>
      <c r="C358" s="5" t="s">
        <v>31</v>
      </c>
      <c r="D358" s="5" t="s">
        <v>32</v>
      </c>
      <c r="E358" s="5" t="str">
        <f>"陈文书"</f>
        <v>陈文书</v>
      </c>
      <c r="F358" s="5" t="str">
        <f>"男"</f>
        <v>男</v>
      </c>
      <c r="G358" s="5" t="str">
        <f>"1990-08-09"</f>
        <v>1990-08-09</v>
      </c>
      <c r="H358" s="5" t="str">
        <f>"南昌大学科学技术学院"</f>
        <v>南昌大学科学技术学院</v>
      </c>
    </row>
    <row r="359" s="2" customFormat="1" ht="20" customHeight="1" spans="1:8">
      <c r="A359" s="5">
        <v>357</v>
      </c>
      <c r="B359" s="5" t="str">
        <f>"223220191125104236211804"</f>
        <v>223220191125104236211804</v>
      </c>
      <c r="C359" s="5" t="s">
        <v>31</v>
      </c>
      <c r="D359" s="5" t="s">
        <v>32</v>
      </c>
      <c r="E359" s="5" t="str">
        <f>"李丽"</f>
        <v>李丽</v>
      </c>
      <c r="F359" s="5" t="str">
        <f t="shared" ref="F359:F362" si="93">"女"</f>
        <v>女</v>
      </c>
      <c r="G359" s="5" t="str">
        <f>"1993-06-16"</f>
        <v>1993-06-16</v>
      </c>
      <c r="H359" s="5" t="str">
        <f>"三亚学院"</f>
        <v>三亚学院</v>
      </c>
    </row>
    <row r="360" s="2" customFormat="1" ht="20" customHeight="1" spans="1:8">
      <c r="A360" s="5">
        <v>358</v>
      </c>
      <c r="B360" s="5" t="str">
        <f>"223220191125115346211955"</f>
        <v>223220191125115346211955</v>
      </c>
      <c r="C360" s="5" t="s">
        <v>31</v>
      </c>
      <c r="D360" s="5" t="s">
        <v>32</v>
      </c>
      <c r="E360" s="5" t="str">
        <f>"符士月"</f>
        <v>符士月</v>
      </c>
      <c r="F360" s="5" t="str">
        <f t="shared" si="93"/>
        <v>女</v>
      </c>
      <c r="G360" s="5" t="str">
        <f>"1986-10-07"</f>
        <v>1986-10-07</v>
      </c>
      <c r="H360" s="5" t="str">
        <f>"齐齐哈尔大学"</f>
        <v>齐齐哈尔大学</v>
      </c>
    </row>
    <row r="361" s="2" customFormat="1" ht="20" customHeight="1" spans="1:8">
      <c r="A361" s="5">
        <v>359</v>
      </c>
      <c r="B361" s="5" t="str">
        <f>"223220191125122545211990"</f>
        <v>223220191125122545211990</v>
      </c>
      <c r="C361" s="5" t="s">
        <v>31</v>
      </c>
      <c r="D361" s="5" t="s">
        <v>32</v>
      </c>
      <c r="E361" s="5" t="str">
        <f>"张芳芳"</f>
        <v>张芳芳</v>
      </c>
      <c r="F361" s="5" t="str">
        <f t="shared" si="93"/>
        <v>女</v>
      </c>
      <c r="G361" s="5" t="str">
        <f>"1996-11-10"</f>
        <v>1996-11-10</v>
      </c>
      <c r="H361" s="5" t="str">
        <f>"汉口学院"</f>
        <v>汉口学院</v>
      </c>
    </row>
    <row r="362" s="2" customFormat="1" ht="20" customHeight="1" spans="1:8">
      <c r="A362" s="5">
        <v>360</v>
      </c>
      <c r="B362" s="5" t="str">
        <f>"223220191125151403212182"</f>
        <v>223220191125151403212182</v>
      </c>
      <c r="C362" s="5" t="s">
        <v>31</v>
      </c>
      <c r="D362" s="5" t="s">
        <v>32</v>
      </c>
      <c r="E362" s="5" t="str">
        <f>"李喜兰"</f>
        <v>李喜兰</v>
      </c>
      <c r="F362" s="5" t="str">
        <f t="shared" si="93"/>
        <v>女</v>
      </c>
      <c r="G362" s="5" t="str">
        <f>"1996-04-17"</f>
        <v>1996-04-17</v>
      </c>
      <c r="H362" s="5" t="str">
        <f>"湖南人文科技学院"</f>
        <v>湖南人文科技学院</v>
      </c>
    </row>
    <row r="363" s="2" customFormat="1" ht="20" customHeight="1" spans="1:8">
      <c r="A363" s="5">
        <v>361</v>
      </c>
      <c r="B363" s="5" t="str">
        <f>"223220191125152000212197"</f>
        <v>223220191125152000212197</v>
      </c>
      <c r="C363" s="5" t="s">
        <v>31</v>
      </c>
      <c r="D363" s="5" t="s">
        <v>32</v>
      </c>
      <c r="E363" s="5" t="str">
        <f>"黎焕堂"</f>
        <v>黎焕堂</v>
      </c>
      <c r="F363" s="5" t="str">
        <f t="shared" ref="F363:F366" si="94">"男"</f>
        <v>男</v>
      </c>
      <c r="G363" s="5" t="str">
        <f>"1991-04-08"</f>
        <v>1991-04-08</v>
      </c>
      <c r="H363" s="5" t="str">
        <f>"井冈山大学"</f>
        <v>井冈山大学</v>
      </c>
    </row>
    <row r="364" s="2" customFormat="1" ht="20" customHeight="1" spans="1:8">
      <c r="A364" s="5">
        <v>362</v>
      </c>
      <c r="B364" s="5" t="str">
        <f>"223220191125155432212267"</f>
        <v>223220191125155432212267</v>
      </c>
      <c r="C364" s="5" t="s">
        <v>31</v>
      </c>
      <c r="D364" s="5" t="s">
        <v>32</v>
      </c>
      <c r="E364" s="5" t="str">
        <f>"马威"</f>
        <v>马威</v>
      </c>
      <c r="F364" s="5" t="str">
        <f t="shared" si="94"/>
        <v>男</v>
      </c>
      <c r="G364" s="5" t="str">
        <f>"1991-07-15"</f>
        <v>1991-07-15</v>
      </c>
      <c r="H364" s="5" t="str">
        <f>"山西省运城学院"</f>
        <v>山西省运城学院</v>
      </c>
    </row>
    <row r="365" s="2" customFormat="1" ht="20" customHeight="1" spans="1:8">
      <c r="A365" s="5">
        <v>363</v>
      </c>
      <c r="B365" s="5" t="str">
        <f>"223220191125165105212337"</f>
        <v>223220191125165105212337</v>
      </c>
      <c r="C365" s="5" t="s">
        <v>31</v>
      </c>
      <c r="D365" s="5" t="s">
        <v>32</v>
      </c>
      <c r="E365" s="5" t="str">
        <f>"许世博"</f>
        <v>许世博</v>
      </c>
      <c r="F365" s="5" t="str">
        <f t="shared" si="94"/>
        <v>男</v>
      </c>
      <c r="G365" s="5" t="str">
        <f>"1995-03-22"</f>
        <v>1995-03-22</v>
      </c>
      <c r="H365" s="5" t="str">
        <f>"河南财经政法大学"</f>
        <v>河南财经政法大学</v>
      </c>
    </row>
    <row r="366" s="2" customFormat="1" ht="20" customHeight="1" spans="1:8">
      <c r="A366" s="5">
        <v>364</v>
      </c>
      <c r="B366" s="5" t="str">
        <f>"223220191125191347212495"</f>
        <v>223220191125191347212495</v>
      </c>
      <c r="C366" s="5" t="s">
        <v>31</v>
      </c>
      <c r="D366" s="5" t="s">
        <v>32</v>
      </c>
      <c r="E366" s="5" t="str">
        <f>"唐剑"</f>
        <v>唐剑</v>
      </c>
      <c r="F366" s="5" t="str">
        <f t="shared" si="94"/>
        <v>男</v>
      </c>
      <c r="G366" s="5" t="str">
        <f>"1993-12-27"</f>
        <v>1993-12-27</v>
      </c>
      <c r="H366" s="5" t="str">
        <f>"中南财经政法大学"</f>
        <v>中南财经政法大学</v>
      </c>
    </row>
    <row r="367" s="2" customFormat="1" ht="20" customHeight="1" spans="1:8">
      <c r="A367" s="5">
        <v>365</v>
      </c>
      <c r="B367" s="5" t="str">
        <f>"223220191125193756212529"</f>
        <v>223220191125193756212529</v>
      </c>
      <c r="C367" s="5" t="s">
        <v>31</v>
      </c>
      <c r="D367" s="5" t="s">
        <v>32</v>
      </c>
      <c r="E367" s="5" t="str">
        <f>"李尾莲"</f>
        <v>李尾莲</v>
      </c>
      <c r="F367" s="5" t="str">
        <f t="shared" ref="F367:F370" si="95">"女"</f>
        <v>女</v>
      </c>
      <c r="G367" s="5" t="str">
        <f>"1993-10-01"</f>
        <v>1993-10-01</v>
      </c>
      <c r="H367" s="5" t="str">
        <f>"浙江万里学院"</f>
        <v>浙江万里学院</v>
      </c>
    </row>
    <row r="368" s="2" customFormat="1" ht="20" customHeight="1" spans="1:8">
      <c r="A368" s="5">
        <v>366</v>
      </c>
      <c r="B368" s="5" t="str">
        <f>"223220191125225531212788"</f>
        <v>223220191125225531212788</v>
      </c>
      <c r="C368" s="5" t="s">
        <v>31</v>
      </c>
      <c r="D368" s="5" t="s">
        <v>32</v>
      </c>
      <c r="E368" s="5" t="str">
        <f>"符周顺"</f>
        <v>符周顺</v>
      </c>
      <c r="F368" s="5" t="str">
        <f t="shared" ref="F368:F372" si="96">"男"</f>
        <v>男</v>
      </c>
      <c r="G368" s="5" t="str">
        <f>"1987-12-05"</f>
        <v>1987-12-05</v>
      </c>
      <c r="H368" s="5" t="str">
        <f>"福州大学"</f>
        <v>福州大学</v>
      </c>
    </row>
    <row r="369" s="2" customFormat="1" ht="20" customHeight="1" spans="1:8">
      <c r="A369" s="5">
        <v>367</v>
      </c>
      <c r="B369" s="5" t="str">
        <f>"223220191126081823212877"</f>
        <v>223220191126081823212877</v>
      </c>
      <c r="C369" s="5" t="s">
        <v>31</v>
      </c>
      <c r="D369" s="5" t="s">
        <v>32</v>
      </c>
      <c r="E369" s="5" t="str">
        <f>"楼端芬"</f>
        <v>楼端芬</v>
      </c>
      <c r="F369" s="5" t="str">
        <f t="shared" ref="F369:F373" si="97">"女"</f>
        <v>女</v>
      </c>
      <c r="G369" s="5" t="str">
        <f>"1990-08-07"</f>
        <v>1990-08-07</v>
      </c>
      <c r="H369" s="5" t="str">
        <f>"河北科技师范学院"</f>
        <v>河北科技师范学院</v>
      </c>
    </row>
    <row r="370" s="2" customFormat="1" ht="20" customHeight="1" spans="1:8">
      <c r="A370" s="5">
        <v>368</v>
      </c>
      <c r="B370" s="5" t="str">
        <f>"223220191126094711213199"</f>
        <v>223220191126094711213199</v>
      </c>
      <c r="C370" s="5" t="s">
        <v>31</v>
      </c>
      <c r="D370" s="5" t="s">
        <v>32</v>
      </c>
      <c r="E370" s="5" t="str">
        <f>"何秀玲"</f>
        <v>何秀玲</v>
      </c>
      <c r="F370" s="5" t="str">
        <f t="shared" si="97"/>
        <v>女</v>
      </c>
      <c r="G370" s="5" t="str">
        <f>"1993-05-18"</f>
        <v>1993-05-18</v>
      </c>
      <c r="H370" s="5" t="str">
        <f>"海口经济学院"</f>
        <v>海口经济学院</v>
      </c>
    </row>
    <row r="371" s="2" customFormat="1" ht="20" customHeight="1" spans="1:8">
      <c r="A371" s="5">
        <v>369</v>
      </c>
      <c r="B371" s="5" t="str">
        <f>"223220191126153314214085"</f>
        <v>223220191126153314214085</v>
      </c>
      <c r="C371" s="5" t="s">
        <v>31</v>
      </c>
      <c r="D371" s="5" t="s">
        <v>32</v>
      </c>
      <c r="E371" s="5" t="str">
        <f>"谢永"</f>
        <v>谢永</v>
      </c>
      <c r="F371" s="5" t="str">
        <f t="shared" ref="F371:F374" si="98">"男"</f>
        <v>男</v>
      </c>
      <c r="G371" s="5" t="str">
        <f>"1990-04-12"</f>
        <v>1990-04-12</v>
      </c>
      <c r="H371" s="5" t="str">
        <f>"云南师范大学商学院"</f>
        <v>云南师范大学商学院</v>
      </c>
    </row>
    <row r="372" s="2" customFormat="1" ht="20" customHeight="1" spans="1:8">
      <c r="A372" s="5">
        <v>370</v>
      </c>
      <c r="B372" s="5" t="str">
        <f>"223220191126213206214779"</f>
        <v>223220191126213206214779</v>
      </c>
      <c r="C372" s="5" t="s">
        <v>31</v>
      </c>
      <c r="D372" s="5" t="s">
        <v>32</v>
      </c>
      <c r="E372" s="5" t="str">
        <f>"欧方才"</f>
        <v>欧方才</v>
      </c>
      <c r="F372" s="5" t="str">
        <f t="shared" si="98"/>
        <v>男</v>
      </c>
      <c r="G372" s="5" t="str">
        <f>"1995-11-21"</f>
        <v>1995-11-21</v>
      </c>
      <c r="H372" s="5" t="str">
        <f>"三亚学院"</f>
        <v>三亚学院</v>
      </c>
    </row>
    <row r="373" s="2" customFormat="1" ht="20" customHeight="1" spans="1:8">
      <c r="A373" s="5">
        <v>371</v>
      </c>
      <c r="B373" s="5" t="str">
        <f>"223220191126230231214922"</f>
        <v>223220191126230231214922</v>
      </c>
      <c r="C373" s="5" t="s">
        <v>31</v>
      </c>
      <c r="D373" s="5" t="s">
        <v>32</v>
      </c>
      <c r="E373" s="5" t="str">
        <f>"陈丽艳"</f>
        <v>陈丽艳</v>
      </c>
      <c r="F373" s="5" t="str">
        <f>"女"</f>
        <v>女</v>
      </c>
      <c r="G373" s="5" t="str">
        <f>"1994-08-13"</f>
        <v>1994-08-13</v>
      </c>
      <c r="H373" s="5" t="str">
        <f>"南昌大学科学技术学院"</f>
        <v>南昌大学科学技术学院</v>
      </c>
    </row>
    <row r="374" s="2" customFormat="1" ht="20" customHeight="1" spans="1:8">
      <c r="A374" s="5">
        <v>372</v>
      </c>
      <c r="B374" s="5" t="str">
        <f>"223220191127164150215762"</f>
        <v>223220191127164150215762</v>
      </c>
      <c r="C374" s="5" t="s">
        <v>31</v>
      </c>
      <c r="D374" s="5" t="s">
        <v>32</v>
      </c>
      <c r="E374" s="5" t="str">
        <f>"何万常"</f>
        <v>何万常</v>
      </c>
      <c r="F374" s="5" t="str">
        <f>"男"</f>
        <v>男</v>
      </c>
      <c r="G374" s="5" t="str">
        <f>"1994-07-15"</f>
        <v>1994-07-15</v>
      </c>
      <c r="H374" s="5" t="str">
        <f>"东北师范大学人文学院"</f>
        <v>东北师范大学人文学院</v>
      </c>
    </row>
    <row r="375" s="2" customFormat="1" ht="20" customHeight="1" spans="1:8">
      <c r="A375" s="5">
        <v>373</v>
      </c>
      <c r="B375" s="5" t="str">
        <f>"223220191127230527216234"</f>
        <v>223220191127230527216234</v>
      </c>
      <c r="C375" s="5" t="s">
        <v>31</v>
      </c>
      <c r="D375" s="5" t="s">
        <v>32</v>
      </c>
      <c r="E375" s="5" t="str">
        <f>"林玉杏"</f>
        <v>林玉杏</v>
      </c>
      <c r="F375" s="5" t="str">
        <f t="shared" ref="F375:F380" si="99">"女"</f>
        <v>女</v>
      </c>
      <c r="G375" s="5" t="str">
        <f>"1993-03-21"</f>
        <v>1993-03-21</v>
      </c>
      <c r="H375" s="5" t="str">
        <f>"忻州师范学院"</f>
        <v>忻州师范学院</v>
      </c>
    </row>
    <row r="376" s="2" customFormat="1" ht="20" customHeight="1" spans="1:8">
      <c r="A376" s="5">
        <v>374</v>
      </c>
      <c r="B376" s="5" t="str">
        <f>"223220191128084212216318"</f>
        <v>223220191128084212216318</v>
      </c>
      <c r="C376" s="5" t="s">
        <v>31</v>
      </c>
      <c r="D376" s="5" t="s">
        <v>32</v>
      </c>
      <c r="E376" s="5" t="str">
        <f>"梁湘菲"</f>
        <v>梁湘菲</v>
      </c>
      <c r="F376" s="5" t="str">
        <f t="shared" si="99"/>
        <v>女</v>
      </c>
      <c r="G376" s="5" t="str">
        <f>"1994-12-22"</f>
        <v>1994-12-22</v>
      </c>
      <c r="H376" s="5" t="str">
        <f>"湖北警官学院"</f>
        <v>湖北警官学院</v>
      </c>
    </row>
    <row r="377" s="2" customFormat="1" ht="20" customHeight="1" spans="1:8">
      <c r="A377" s="5">
        <v>375</v>
      </c>
      <c r="B377" s="5" t="str">
        <f>"223220191128114046216570"</f>
        <v>223220191128114046216570</v>
      </c>
      <c r="C377" s="5" t="s">
        <v>31</v>
      </c>
      <c r="D377" s="5" t="s">
        <v>32</v>
      </c>
      <c r="E377" s="5" t="str">
        <f>"羊春"</f>
        <v>羊春</v>
      </c>
      <c r="F377" s="5" t="str">
        <f t="shared" si="99"/>
        <v>女</v>
      </c>
      <c r="G377" s="5" t="str">
        <f>"1989-08-03"</f>
        <v>1989-08-03</v>
      </c>
      <c r="H377" s="5" t="str">
        <f>"红河学院"</f>
        <v>红河学院</v>
      </c>
    </row>
    <row r="378" s="2" customFormat="1" ht="20" customHeight="1" spans="1:8">
      <c r="A378" s="5">
        <v>376</v>
      </c>
      <c r="B378" s="5" t="str">
        <f>"223220191128124609216656"</f>
        <v>223220191128124609216656</v>
      </c>
      <c r="C378" s="5" t="s">
        <v>31</v>
      </c>
      <c r="D378" s="5" t="s">
        <v>32</v>
      </c>
      <c r="E378" s="5" t="str">
        <f>"王鑫花"</f>
        <v>王鑫花</v>
      </c>
      <c r="F378" s="5" t="str">
        <f t="shared" si="99"/>
        <v>女</v>
      </c>
      <c r="G378" s="5" t="str">
        <f>"1995-09-08"</f>
        <v>1995-09-08</v>
      </c>
      <c r="H378" s="5" t="str">
        <f>"云南师范大学文理学院"</f>
        <v>云南师范大学文理学院</v>
      </c>
    </row>
    <row r="379" s="2" customFormat="1" ht="20" customHeight="1" spans="1:8">
      <c r="A379" s="5">
        <v>377</v>
      </c>
      <c r="B379" s="5" t="str">
        <f>"223220191128175145217040"</f>
        <v>223220191128175145217040</v>
      </c>
      <c r="C379" s="5" t="s">
        <v>31</v>
      </c>
      <c r="D379" s="5" t="s">
        <v>32</v>
      </c>
      <c r="E379" s="5" t="str">
        <f>"吕世丹"</f>
        <v>吕世丹</v>
      </c>
      <c r="F379" s="5" t="str">
        <f t="shared" si="99"/>
        <v>女</v>
      </c>
      <c r="G379" s="5" t="str">
        <f>"1994-07-01"</f>
        <v>1994-07-01</v>
      </c>
      <c r="H379" s="5" t="str">
        <f>"安徽师范大学"</f>
        <v>安徽师范大学</v>
      </c>
    </row>
    <row r="380" s="2" customFormat="1" ht="20" customHeight="1" spans="1:8">
      <c r="A380" s="5">
        <v>378</v>
      </c>
      <c r="B380" s="5" t="str">
        <f>"223220191129085005217329"</f>
        <v>223220191129085005217329</v>
      </c>
      <c r="C380" s="5" t="s">
        <v>31</v>
      </c>
      <c r="D380" s="5" t="s">
        <v>32</v>
      </c>
      <c r="E380" s="5" t="str">
        <f>"符文婷"</f>
        <v>符文婷</v>
      </c>
      <c r="F380" s="5" t="str">
        <f t="shared" si="99"/>
        <v>女</v>
      </c>
      <c r="G380" s="5" t="str">
        <f>"1997-08-09"</f>
        <v>1997-08-09</v>
      </c>
      <c r="H380" s="5" t="str">
        <f>"湖南文理学院芙蓉学院"</f>
        <v>湖南文理学院芙蓉学院</v>
      </c>
    </row>
    <row r="381" s="2" customFormat="1" ht="20" customHeight="1" spans="1:8">
      <c r="A381" s="5">
        <v>379</v>
      </c>
      <c r="B381" s="5" t="str">
        <f>"223220191129123315217503"</f>
        <v>223220191129123315217503</v>
      </c>
      <c r="C381" s="5" t="s">
        <v>31</v>
      </c>
      <c r="D381" s="5" t="s">
        <v>32</v>
      </c>
      <c r="E381" s="5" t="str">
        <f>"麦豪强"</f>
        <v>麦豪强</v>
      </c>
      <c r="F381" s="5" t="str">
        <f>"男"</f>
        <v>男</v>
      </c>
      <c r="G381" s="5" t="str">
        <f>"1992-10-27"</f>
        <v>1992-10-27</v>
      </c>
      <c r="H381" s="5" t="str">
        <f>"三亚学院"</f>
        <v>三亚学院</v>
      </c>
    </row>
    <row r="382" s="2" customFormat="1" ht="20" customHeight="1" spans="1:8">
      <c r="A382" s="5">
        <v>380</v>
      </c>
      <c r="B382" s="5" t="str">
        <f>"223220191129150126217582"</f>
        <v>223220191129150126217582</v>
      </c>
      <c r="C382" s="5" t="s">
        <v>31</v>
      </c>
      <c r="D382" s="5" t="s">
        <v>32</v>
      </c>
      <c r="E382" s="5" t="str">
        <f>"丁坤练"</f>
        <v>丁坤练</v>
      </c>
      <c r="F382" s="5" t="str">
        <f t="shared" ref="F382:F386" si="100">"女"</f>
        <v>女</v>
      </c>
      <c r="G382" s="5" t="str">
        <f>"1992-10-05"</f>
        <v>1992-10-05</v>
      </c>
      <c r="H382" s="5" t="str">
        <f>"湖北科技学院"</f>
        <v>湖北科技学院</v>
      </c>
    </row>
    <row r="383" s="2" customFormat="1" ht="20" customHeight="1" spans="1:8">
      <c r="A383" s="5">
        <v>381</v>
      </c>
      <c r="B383" s="5" t="str">
        <f>"223220191129184122217732"</f>
        <v>223220191129184122217732</v>
      </c>
      <c r="C383" s="5" t="s">
        <v>31</v>
      </c>
      <c r="D383" s="5" t="s">
        <v>32</v>
      </c>
      <c r="E383" s="5" t="str">
        <f>"陈婷"</f>
        <v>陈婷</v>
      </c>
      <c r="F383" s="5" t="str">
        <f t="shared" si="100"/>
        <v>女</v>
      </c>
      <c r="G383" s="5" t="str">
        <f>"1996-08-16"</f>
        <v>1996-08-16</v>
      </c>
      <c r="H383" s="5" t="str">
        <f>"长沙医学院"</f>
        <v>长沙医学院</v>
      </c>
    </row>
    <row r="384" s="2" customFormat="1" ht="20" customHeight="1" spans="1:8">
      <c r="A384" s="5">
        <v>382</v>
      </c>
      <c r="B384" s="5" t="str">
        <f>"223220191123080438209957"</f>
        <v>223220191123080438209957</v>
      </c>
      <c r="C384" s="5" t="s">
        <v>33</v>
      </c>
      <c r="D384" s="5" t="s">
        <v>34</v>
      </c>
      <c r="E384" s="5" t="str">
        <f>"薛卓麒"</f>
        <v>薛卓麒</v>
      </c>
      <c r="F384" s="5" t="str">
        <f t="shared" ref="F384:F390" si="101">"男"</f>
        <v>男</v>
      </c>
      <c r="G384" s="5" t="str">
        <f>"1996-09-23"</f>
        <v>1996-09-23</v>
      </c>
      <c r="H384" s="5" t="str">
        <f>"南昌大学科学技术学院"</f>
        <v>南昌大学科学技术学院</v>
      </c>
    </row>
    <row r="385" s="2" customFormat="1" ht="20" customHeight="1" spans="1:8">
      <c r="A385" s="5">
        <v>383</v>
      </c>
      <c r="B385" s="5" t="str">
        <f>"223220191123081356209964"</f>
        <v>223220191123081356209964</v>
      </c>
      <c r="C385" s="5" t="s">
        <v>33</v>
      </c>
      <c r="D385" s="5" t="s">
        <v>34</v>
      </c>
      <c r="E385" s="5" t="str">
        <f>"李淑芝"</f>
        <v>李淑芝</v>
      </c>
      <c r="F385" s="5" t="str">
        <f>"女"</f>
        <v>女</v>
      </c>
      <c r="G385" s="5" t="str">
        <f>"1994-06-20"</f>
        <v>1994-06-20</v>
      </c>
      <c r="H385" s="5" t="str">
        <f>"海口经济学院"</f>
        <v>海口经济学院</v>
      </c>
    </row>
    <row r="386" s="2" customFormat="1" ht="20" customHeight="1" spans="1:8">
      <c r="A386" s="5">
        <v>384</v>
      </c>
      <c r="B386" s="5" t="str">
        <f>"223220191123082445209966"</f>
        <v>223220191123082445209966</v>
      </c>
      <c r="C386" s="5" t="s">
        <v>33</v>
      </c>
      <c r="D386" s="5" t="s">
        <v>34</v>
      </c>
      <c r="E386" s="5" t="str">
        <f>"符才秀"</f>
        <v>符才秀</v>
      </c>
      <c r="F386" s="5" t="str">
        <f>"女"</f>
        <v>女</v>
      </c>
      <c r="G386" s="5" t="str">
        <f>"1994-12-28"</f>
        <v>1994-12-28</v>
      </c>
      <c r="H386" s="5" t="str">
        <f>"大连大学"</f>
        <v>大连大学</v>
      </c>
    </row>
    <row r="387" s="2" customFormat="1" ht="20" customHeight="1" spans="1:8">
      <c r="A387" s="5">
        <v>385</v>
      </c>
      <c r="B387" s="5" t="str">
        <f>"223220191123085553209978"</f>
        <v>223220191123085553209978</v>
      </c>
      <c r="C387" s="5" t="s">
        <v>33</v>
      </c>
      <c r="D387" s="5" t="s">
        <v>34</v>
      </c>
      <c r="E387" s="5" t="str">
        <f>"陈开豪"</f>
        <v>陈开豪</v>
      </c>
      <c r="F387" s="5" t="str">
        <f t="shared" ref="F387:F390" si="102">"男"</f>
        <v>男</v>
      </c>
      <c r="G387" s="5" t="str">
        <f>"1994-02-06"</f>
        <v>1994-02-06</v>
      </c>
      <c r="H387" s="5" t="str">
        <f>"辽宁对外经贸学院"</f>
        <v>辽宁对外经贸学院</v>
      </c>
    </row>
    <row r="388" s="2" customFormat="1" ht="20" customHeight="1" spans="1:8">
      <c r="A388" s="5">
        <v>386</v>
      </c>
      <c r="B388" s="5" t="str">
        <f>"223220191123094113210033"</f>
        <v>223220191123094113210033</v>
      </c>
      <c r="C388" s="5" t="s">
        <v>33</v>
      </c>
      <c r="D388" s="5" t="s">
        <v>34</v>
      </c>
      <c r="E388" s="5" t="str">
        <f>"符有传"</f>
        <v>符有传</v>
      </c>
      <c r="F388" s="5" t="str">
        <f t="shared" si="102"/>
        <v>男</v>
      </c>
      <c r="G388" s="5" t="str">
        <f>"1993-02-17"</f>
        <v>1993-02-17</v>
      </c>
      <c r="H388" s="5" t="str">
        <f>"东莞理工学院"</f>
        <v>东莞理工学院</v>
      </c>
    </row>
    <row r="389" s="2" customFormat="1" ht="20" customHeight="1" spans="1:8">
      <c r="A389" s="5">
        <v>387</v>
      </c>
      <c r="B389" s="5" t="str">
        <f>"223220191123095800210057"</f>
        <v>223220191123095800210057</v>
      </c>
      <c r="C389" s="5" t="s">
        <v>33</v>
      </c>
      <c r="D389" s="5" t="s">
        <v>34</v>
      </c>
      <c r="E389" s="5" t="str">
        <f>"赵启远"</f>
        <v>赵启远</v>
      </c>
      <c r="F389" s="5" t="str">
        <f t="shared" si="102"/>
        <v>男</v>
      </c>
      <c r="G389" s="5" t="str">
        <f>"1994-07-05"</f>
        <v>1994-07-05</v>
      </c>
      <c r="H389" s="5" t="str">
        <f>"东北师范大学人文学院"</f>
        <v>东北师范大学人文学院</v>
      </c>
    </row>
    <row r="390" s="2" customFormat="1" ht="20" customHeight="1" spans="1:8">
      <c r="A390" s="5">
        <v>388</v>
      </c>
      <c r="B390" s="5" t="str">
        <f>"223220191123102337210101"</f>
        <v>223220191123102337210101</v>
      </c>
      <c r="C390" s="5" t="s">
        <v>33</v>
      </c>
      <c r="D390" s="5" t="s">
        <v>34</v>
      </c>
      <c r="E390" s="5" t="str">
        <f>"陈家俊"</f>
        <v>陈家俊</v>
      </c>
      <c r="F390" s="5" t="str">
        <f t="shared" si="102"/>
        <v>男</v>
      </c>
      <c r="G390" s="5" t="str">
        <f>"1995-10-06"</f>
        <v>1995-10-06</v>
      </c>
      <c r="H390" s="5" t="str">
        <f>"湘潭大学"</f>
        <v>湘潭大学</v>
      </c>
    </row>
    <row r="391" s="2" customFormat="1" ht="20" customHeight="1" spans="1:8">
      <c r="A391" s="5">
        <v>389</v>
      </c>
      <c r="B391" s="5" t="str">
        <f>"223220191123102649210106"</f>
        <v>223220191123102649210106</v>
      </c>
      <c r="C391" s="5" t="s">
        <v>33</v>
      </c>
      <c r="D391" s="5" t="s">
        <v>34</v>
      </c>
      <c r="E391" s="5" t="str">
        <f>"王三女"</f>
        <v>王三女</v>
      </c>
      <c r="F391" s="5" t="str">
        <f t="shared" ref="F391:F393" si="103">"女"</f>
        <v>女</v>
      </c>
      <c r="G391" s="5" t="str">
        <f>"1992-08-17"</f>
        <v>1992-08-17</v>
      </c>
      <c r="H391" s="5" t="str">
        <f>"石河子大学"</f>
        <v>石河子大学</v>
      </c>
    </row>
    <row r="392" s="2" customFormat="1" ht="20" customHeight="1" spans="1:8">
      <c r="A392" s="5">
        <v>390</v>
      </c>
      <c r="B392" s="5" t="str">
        <f>"223220191123103558210124"</f>
        <v>223220191123103558210124</v>
      </c>
      <c r="C392" s="5" t="s">
        <v>33</v>
      </c>
      <c r="D392" s="5" t="s">
        <v>34</v>
      </c>
      <c r="E392" s="5" t="str">
        <f>"薛妹妹"</f>
        <v>薛妹妹</v>
      </c>
      <c r="F392" s="5" t="str">
        <f t="shared" si="103"/>
        <v>女</v>
      </c>
      <c r="G392" s="5" t="str">
        <f>"1996-08-23"</f>
        <v>1996-08-23</v>
      </c>
      <c r="H392" s="5" t="str">
        <f>"桂林电子科技大学"</f>
        <v>桂林电子科技大学</v>
      </c>
    </row>
    <row r="393" s="2" customFormat="1" ht="20" customHeight="1" spans="1:8">
      <c r="A393" s="5">
        <v>391</v>
      </c>
      <c r="B393" s="5" t="str">
        <f>"223220191123103922210128"</f>
        <v>223220191123103922210128</v>
      </c>
      <c r="C393" s="5" t="s">
        <v>33</v>
      </c>
      <c r="D393" s="5" t="s">
        <v>34</v>
      </c>
      <c r="E393" s="5" t="str">
        <f>"王巧玲"</f>
        <v>王巧玲</v>
      </c>
      <c r="F393" s="5" t="str">
        <f t="shared" si="103"/>
        <v>女</v>
      </c>
      <c r="G393" s="5" t="str">
        <f>"1994-09-24"</f>
        <v>1994-09-24</v>
      </c>
      <c r="H393" s="5" t="str">
        <f>"安顺学院"</f>
        <v>安顺学院</v>
      </c>
    </row>
    <row r="394" s="2" customFormat="1" ht="20" customHeight="1" spans="1:8">
      <c r="A394" s="5">
        <v>392</v>
      </c>
      <c r="B394" s="5" t="str">
        <f>"223220191123105510210148"</f>
        <v>223220191123105510210148</v>
      </c>
      <c r="C394" s="5" t="s">
        <v>33</v>
      </c>
      <c r="D394" s="5" t="s">
        <v>34</v>
      </c>
      <c r="E394" s="5" t="str">
        <f>"李占雄"</f>
        <v>李占雄</v>
      </c>
      <c r="F394" s="5" t="str">
        <f t="shared" ref="F394:F400" si="104">"男"</f>
        <v>男</v>
      </c>
      <c r="G394" s="5" t="str">
        <f>"1995-11-27"</f>
        <v>1995-11-27</v>
      </c>
      <c r="H394" s="5" t="str">
        <f>"萍乡学院"</f>
        <v>萍乡学院</v>
      </c>
    </row>
    <row r="395" s="2" customFormat="1" ht="20" customHeight="1" spans="1:8">
      <c r="A395" s="5">
        <v>393</v>
      </c>
      <c r="B395" s="5" t="str">
        <f>"223220191123114739210208"</f>
        <v>223220191123114739210208</v>
      </c>
      <c r="C395" s="5" t="s">
        <v>33</v>
      </c>
      <c r="D395" s="5" t="s">
        <v>34</v>
      </c>
      <c r="E395" s="5" t="str">
        <f>"吴万惠"</f>
        <v>吴万惠</v>
      </c>
      <c r="F395" s="5" t="str">
        <f>"女"</f>
        <v>女</v>
      </c>
      <c r="G395" s="5" t="str">
        <f>"1996-12-03"</f>
        <v>1996-12-03</v>
      </c>
      <c r="H395" s="5" t="str">
        <f>"宜宾学院"</f>
        <v>宜宾学院</v>
      </c>
    </row>
    <row r="396" s="2" customFormat="1" ht="20" customHeight="1" spans="1:8">
      <c r="A396" s="5">
        <v>394</v>
      </c>
      <c r="B396" s="5" t="str">
        <f>"223220191123115306210219"</f>
        <v>223220191123115306210219</v>
      </c>
      <c r="C396" s="5" t="s">
        <v>33</v>
      </c>
      <c r="D396" s="5" t="s">
        <v>34</v>
      </c>
      <c r="E396" s="5" t="str">
        <f>"万庭华"</f>
        <v>万庭华</v>
      </c>
      <c r="F396" s="5" t="str">
        <f t="shared" ref="F396:F400" si="105">"男"</f>
        <v>男</v>
      </c>
      <c r="G396" s="5" t="str">
        <f>"1991-09-04"</f>
        <v>1991-09-04</v>
      </c>
      <c r="H396" s="5" t="str">
        <f>"北京化工大学北方学院"</f>
        <v>北京化工大学北方学院</v>
      </c>
    </row>
    <row r="397" s="2" customFormat="1" ht="20" customHeight="1" spans="1:8">
      <c r="A397" s="5">
        <v>395</v>
      </c>
      <c r="B397" s="5" t="str">
        <f>"223220191123115825210225"</f>
        <v>223220191123115825210225</v>
      </c>
      <c r="C397" s="5" t="s">
        <v>33</v>
      </c>
      <c r="D397" s="5" t="s">
        <v>34</v>
      </c>
      <c r="E397" s="5" t="str">
        <f>"郑宝恒"</f>
        <v>郑宝恒</v>
      </c>
      <c r="F397" s="5" t="str">
        <f t="shared" si="105"/>
        <v>男</v>
      </c>
      <c r="G397" s="5" t="str">
        <f>"1996-05-01"</f>
        <v>1996-05-01</v>
      </c>
      <c r="H397" s="5" t="str">
        <f>"辽宁财贸学院"</f>
        <v>辽宁财贸学院</v>
      </c>
    </row>
    <row r="398" s="2" customFormat="1" ht="20" customHeight="1" spans="1:8">
      <c r="A398" s="5">
        <v>396</v>
      </c>
      <c r="B398" s="5" t="str">
        <f>"223220191123122536210256"</f>
        <v>223220191123122536210256</v>
      </c>
      <c r="C398" s="5" t="s">
        <v>33</v>
      </c>
      <c r="D398" s="5" t="s">
        <v>34</v>
      </c>
      <c r="E398" s="5" t="str">
        <f>"万华善"</f>
        <v>万华善</v>
      </c>
      <c r="F398" s="5" t="str">
        <f t="shared" si="105"/>
        <v>男</v>
      </c>
      <c r="G398" s="5" t="str">
        <f>"1980-06-07"</f>
        <v>1980-06-07</v>
      </c>
      <c r="H398" s="5" t="str">
        <f>"中央广播电视大学"</f>
        <v>中央广播电视大学</v>
      </c>
    </row>
    <row r="399" s="2" customFormat="1" ht="20" customHeight="1" spans="1:8">
      <c r="A399" s="5">
        <v>397</v>
      </c>
      <c r="B399" s="5" t="str">
        <f>"223220191123124456210274"</f>
        <v>223220191123124456210274</v>
      </c>
      <c r="C399" s="5" t="s">
        <v>33</v>
      </c>
      <c r="D399" s="5" t="s">
        <v>34</v>
      </c>
      <c r="E399" s="5" t="str">
        <f>"王恩泽"</f>
        <v>王恩泽</v>
      </c>
      <c r="F399" s="5" t="str">
        <f t="shared" si="105"/>
        <v>男</v>
      </c>
      <c r="G399" s="5" t="str">
        <f>"1990-02-18"</f>
        <v>1990-02-18</v>
      </c>
      <c r="H399" s="5" t="str">
        <f>"昆明理工大学"</f>
        <v>昆明理工大学</v>
      </c>
    </row>
    <row r="400" s="2" customFormat="1" ht="20" customHeight="1" spans="1:8">
      <c r="A400" s="5">
        <v>398</v>
      </c>
      <c r="B400" s="5" t="str">
        <f>"223220191123131035210298"</f>
        <v>223220191123131035210298</v>
      </c>
      <c r="C400" s="5" t="s">
        <v>33</v>
      </c>
      <c r="D400" s="5" t="s">
        <v>34</v>
      </c>
      <c r="E400" s="5" t="str">
        <f>"邱鼎珍"</f>
        <v>邱鼎珍</v>
      </c>
      <c r="F400" s="5" t="str">
        <f t="shared" si="105"/>
        <v>男</v>
      </c>
      <c r="G400" s="5" t="str">
        <f>"1994-05-04"</f>
        <v>1994-05-04</v>
      </c>
      <c r="H400" s="5" t="str">
        <f>"南京航空航天大学"</f>
        <v>南京航空航天大学</v>
      </c>
    </row>
    <row r="401" s="2" customFormat="1" ht="20" customHeight="1" spans="1:8">
      <c r="A401" s="5">
        <v>399</v>
      </c>
      <c r="B401" s="5" t="str">
        <f>"223220191123134118210321"</f>
        <v>223220191123134118210321</v>
      </c>
      <c r="C401" s="5" t="s">
        <v>33</v>
      </c>
      <c r="D401" s="5" t="s">
        <v>34</v>
      </c>
      <c r="E401" s="5" t="str">
        <f>"刘得妃"</f>
        <v>刘得妃</v>
      </c>
      <c r="F401" s="5" t="str">
        <f>"女"</f>
        <v>女</v>
      </c>
      <c r="G401" s="5" t="str">
        <f>"1987-02-20"</f>
        <v>1987-02-20</v>
      </c>
      <c r="H401" s="5" t="str">
        <f>"陕西中医学院"</f>
        <v>陕西中医学院</v>
      </c>
    </row>
    <row r="402" s="2" customFormat="1" ht="20" customHeight="1" spans="1:8">
      <c r="A402" s="5">
        <v>400</v>
      </c>
      <c r="B402" s="5" t="str">
        <f>"223220191123143857210360"</f>
        <v>223220191123143857210360</v>
      </c>
      <c r="C402" s="5" t="s">
        <v>33</v>
      </c>
      <c r="D402" s="5" t="s">
        <v>34</v>
      </c>
      <c r="E402" s="5" t="str">
        <f>"郭启华"</f>
        <v>郭启华</v>
      </c>
      <c r="F402" s="5" t="str">
        <f t="shared" ref="F402:F404" si="106">"男"</f>
        <v>男</v>
      </c>
      <c r="G402" s="5" t="str">
        <f>"1991-05-15"</f>
        <v>1991-05-15</v>
      </c>
      <c r="H402" s="5" t="str">
        <f>"西北工业大学明德学院"</f>
        <v>西北工业大学明德学院</v>
      </c>
    </row>
    <row r="403" s="2" customFormat="1" ht="20" customHeight="1" spans="1:8">
      <c r="A403" s="5">
        <v>401</v>
      </c>
      <c r="B403" s="5" t="str">
        <f>"223220191123145536210376"</f>
        <v>223220191123145536210376</v>
      </c>
      <c r="C403" s="5" t="s">
        <v>33</v>
      </c>
      <c r="D403" s="5" t="s">
        <v>34</v>
      </c>
      <c r="E403" s="5" t="str">
        <f>"宋毅"</f>
        <v>宋毅</v>
      </c>
      <c r="F403" s="5" t="str">
        <f t="shared" si="106"/>
        <v>男</v>
      </c>
      <c r="G403" s="5" t="str">
        <f>"1996-03-23"</f>
        <v>1996-03-23</v>
      </c>
      <c r="H403" s="5" t="str">
        <f>"大连科技学院"</f>
        <v>大连科技学院</v>
      </c>
    </row>
    <row r="404" s="2" customFormat="1" ht="20" customHeight="1" spans="1:8">
      <c r="A404" s="5">
        <v>402</v>
      </c>
      <c r="B404" s="5" t="str">
        <f>"223220191123150559210384"</f>
        <v>223220191123150559210384</v>
      </c>
      <c r="C404" s="5" t="s">
        <v>33</v>
      </c>
      <c r="D404" s="5" t="s">
        <v>34</v>
      </c>
      <c r="E404" s="5" t="str">
        <f>"朱万昊"</f>
        <v>朱万昊</v>
      </c>
      <c r="F404" s="5" t="str">
        <f t="shared" si="106"/>
        <v>男</v>
      </c>
      <c r="G404" s="5" t="str">
        <f>"1997-11-17"</f>
        <v>1997-11-17</v>
      </c>
      <c r="H404" s="5" t="str">
        <f>"泉州信息工程学院"</f>
        <v>泉州信息工程学院</v>
      </c>
    </row>
    <row r="405" s="2" customFormat="1" ht="20" customHeight="1" spans="1:8">
      <c r="A405" s="5">
        <v>403</v>
      </c>
      <c r="B405" s="5" t="str">
        <f>"223220191123151426210388"</f>
        <v>223220191123151426210388</v>
      </c>
      <c r="C405" s="5" t="s">
        <v>33</v>
      </c>
      <c r="D405" s="5" t="s">
        <v>34</v>
      </c>
      <c r="E405" s="5" t="str">
        <f>"何桂紫"</f>
        <v>何桂紫</v>
      </c>
      <c r="F405" s="5" t="str">
        <f>"女"</f>
        <v>女</v>
      </c>
      <c r="G405" s="5" t="str">
        <f>"1993-08-15"</f>
        <v>1993-08-15</v>
      </c>
      <c r="H405" s="5" t="str">
        <f>"武汉轻工大学"</f>
        <v>武汉轻工大学</v>
      </c>
    </row>
    <row r="406" s="2" customFormat="1" ht="20" customHeight="1" spans="1:8">
      <c r="A406" s="5">
        <v>404</v>
      </c>
      <c r="B406" s="5" t="str">
        <f>"223220191123171243210468"</f>
        <v>223220191123171243210468</v>
      </c>
      <c r="C406" s="5" t="s">
        <v>33</v>
      </c>
      <c r="D406" s="5" t="s">
        <v>34</v>
      </c>
      <c r="E406" s="5" t="str">
        <f>"吴乾斌"</f>
        <v>吴乾斌</v>
      </c>
      <c r="F406" s="5" t="str">
        <f t="shared" ref="F406:F409" si="107">"男"</f>
        <v>男</v>
      </c>
      <c r="G406" s="5" t="str">
        <f>"1993-01-11"</f>
        <v>1993-01-11</v>
      </c>
      <c r="H406" s="5" t="str">
        <f>"井冈山大学"</f>
        <v>井冈山大学</v>
      </c>
    </row>
    <row r="407" s="2" customFormat="1" ht="20" customHeight="1" spans="1:8">
      <c r="A407" s="5">
        <v>405</v>
      </c>
      <c r="B407" s="5" t="str">
        <f>"223220191123171858210476"</f>
        <v>223220191123171858210476</v>
      </c>
      <c r="C407" s="5" t="s">
        <v>33</v>
      </c>
      <c r="D407" s="5" t="s">
        <v>34</v>
      </c>
      <c r="E407" s="5" t="str">
        <f>"郑明敏"</f>
        <v>郑明敏</v>
      </c>
      <c r="F407" s="5" t="str">
        <f t="shared" si="107"/>
        <v>男</v>
      </c>
      <c r="G407" s="5" t="str">
        <f>"1990-12-01"</f>
        <v>1990-12-01</v>
      </c>
      <c r="H407" s="5" t="str">
        <f>"国家开放大学（八一学院）"</f>
        <v>国家开放大学（八一学院）</v>
      </c>
    </row>
    <row r="408" s="2" customFormat="1" ht="20" customHeight="1" spans="1:8">
      <c r="A408" s="5">
        <v>406</v>
      </c>
      <c r="B408" s="5" t="str">
        <f>"223220191123181045210516"</f>
        <v>223220191123181045210516</v>
      </c>
      <c r="C408" s="5" t="s">
        <v>33</v>
      </c>
      <c r="D408" s="5" t="s">
        <v>34</v>
      </c>
      <c r="E408" s="5" t="str">
        <f>"欧诒聪"</f>
        <v>欧诒聪</v>
      </c>
      <c r="F408" s="5" t="str">
        <f t="shared" si="107"/>
        <v>男</v>
      </c>
      <c r="G408" s="5" t="str">
        <f>"1992-02-10"</f>
        <v>1992-02-10</v>
      </c>
      <c r="H408" s="5" t="str">
        <f>"山东交通学院"</f>
        <v>山东交通学院</v>
      </c>
    </row>
    <row r="409" s="2" customFormat="1" ht="20" customHeight="1" spans="1:8">
      <c r="A409" s="5">
        <v>407</v>
      </c>
      <c r="B409" s="5" t="str">
        <f>"223220191123184009210542"</f>
        <v>223220191123184009210542</v>
      </c>
      <c r="C409" s="5" t="s">
        <v>33</v>
      </c>
      <c r="D409" s="5" t="s">
        <v>34</v>
      </c>
      <c r="E409" s="5" t="str">
        <f>"苏显博"</f>
        <v>苏显博</v>
      </c>
      <c r="F409" s="5" t="str">
        <f t="shared" si="107"/>
        <v>男</v>
      </c>
      <c r="G409" s="5" t="str">
        <f>"1994-09-23"</f>
        <v>1994-09-23</v>
      </c>
      <c r="H409" s="5" t="str">
        <f>"广东工业大学华立学院"</f>
        <v>广东工业大学华立学院</v>
      </c>
    </row>
    <row r="410" s="2" customFormat="1" ht="20" customHeight="1" spans="1:8">
      <c r="A410" s="5">
        <v>408</v>
      </c>
      <c r="B410" s="5" t="str">
        <f>"223220191123184348210545"</f>
        <v>223220191123184348210545</v>
      </c>
      <c r="C410" s="5" t="s">
        <v>33</v>
      </c>
      <c r="D410" s="5" t="s">
        <v>34</v>
      </c>
      <c r="E410" s="5" t="str">
        <f>"洪桂婷"</f>
        <v>洪桂婷</v>
      </c>
      <c r="F410" s="5" t="str">
        <f t="shared" ref="F410:F416" si="108">"女"</f>
        <v>女</v>
      </c>
      <c r="G410" s="5" t="str">
        <f>"1997-02-26"</f>
        <v>1997-02-26</v>
      </c>
      <c r="H410" s="5" t="str">
        <f>"青岛工学院"</f>
        <v>青岛工学院</v>
      </c>
    </row>
    <row r="411" s="2" customFormat="1" ht="20" customHeight="1" spans="1:8">
      <c r="A411" s="5">
        <v>409</v>
      </c>
      <c r="B411" s="5" t="str">
        <f>"223220191123204355210641"</f>
        <v>223220191123204355210641</v>
      </c>
      <c r="C411" s="5" t="s">
        <v>33</v>
      </c>
      <c r="D411" s="5" t="s">
        <v>34</v>
      </c>
      <c r="E411" s="5" t="str">
        <f>"梁嘉伟"</f>
        <v>梁嘉伟</v>
      </c>
      <c r="F411" s="5" t="str">
        <f t="shared" ref="F411:F413" si="109">"男"</f>
        <v>男</v>
      </c>
      <c r="G411" s="5" t="str">
        <f>"1993-01-15"</f>
        <v>1993-01-15</v>
      </c>
      <c r="H411" s="5" t="str">
        <f>"安徽建筑大学"</f>
        <v>安徽建筑大学</v>
      </c>
    </row>
    <row r="412" s="2" customFormat="1" ht="20" customHeight="1" spans="1:8">
      <c r="A412" s="5">
        <v>410</v>
      </c>
      <c r="B412" s="5" t="str">
        <f>"223220191123205008210649"</f>
        <v>223220191123205008210649</v>
      </c>
      <c r="C412" s="5" t="s">
        <v>33</v>
      </c>
      <c r="D412" s="5" t="s">
        <v>34</v>
      </c>
      <c r="E412" s="5" t="str">
        <f>"羊强进"</f>
        <v>羊强进</v>
      </c>
      <c r="F412" s="5" t="str">
        <f t="shared" si="109"/>
        <v>男</v>
      </c>
      <c r="G412" s="5" t="str">
        <f>"1992-05-26"</f>
        <v>1992-05-26</v>
      </c>
      <c r="H412" s="5" t="str">
        <f>"西南科技大学"</f>
        <v>西南科技大学</v>
      </c>
    </row>
    <row r="413" s="2" customFormat="1" ht="20" customHeight="1" spans="1:8">
      <c r="A413" s="5">
        <v>411</v>
      </c>
      <c r="B413" s="5" t="str">
        <f>"223220191123222435210698"</f>
        <v>223220191123222435210698</v>
      </c>
      <c r="C413" s="5" t="s">
        <v>33</v>
      </c>
      <c r="D413" s="5" t="s">
        <v>34</v>
      </c>
      <c r="E413" s="5" t="str">
        <f>"符贤笔"</f>
        <v>符贤笔</v>
      </c>
      <c r="F413" s="5" t="str">
        <f t="shared" si="109"/>
        <v>男</v>
      </c>
      <c r="G413" s="5" t="str">
        <f>"1984-09-08"</f>
        <v>1984-09-08</v>
      </c>
      <c r="H413" s="5" t="str">
        <f>"海南师范大学"</f>
        <v>海南师范大学</v>
      </c>
    </row>
    <row r="414" s="2" customFormat="1" ht="20" customHeight="1" spans="1:8">
      <c r="A414" s="5">
        <v>412</v>
      </c>
      <c r="B414" s="5" t="str">
        <f>"223220191123235932210750"</f>
        <v>223220191123235932210750</v>
      </c>
      <c r="C414" s="5" t="s">
        <v>33</v>
      </c>
      <c r="D414" s="5" t="s">
        <v>34</v>
      </c>
      <c r="E414" s="5" t="str">
        <f>"范高婷"</f>
        <v>范高婷</v>
      </c>
      <c r="F414" s="5" t="str">
        <f t="shared" ref="F414:F416" si="110">"女"</f>
        <v>女</v>
      </c>
      <c r="G414" s="5" t="str">
        <f>"1995-06-08"</f>
        <v>1995-06-08</v>
      </c>
      <c r="H414" s="5" t="str">
        <f>"陕西师范大学"</f>
        <v>陕西师范大学</v>
      </c>
    </row>
    <row r="415" s="2" customFormat="1" ht="20" customHeight="1" spans="1:8">
      <c r="A415" s="5">
        <v>413</v>
      </c>
      <c r="B415" s="5" t="str">
        <f>"223220191124085826210782"</f>
        <v>223220191124085826210782</v>
      </c>
      <c r="C415" s="5" t="s">
        <v>33</v>
      </c>
      <c r="D415" s="5" t="s">
        <v>34</v>
      </c>
      <c r="E415" s="5" t="str">
        <f>"谢秋波"</f>
        <v>谢秋波</v>
      </c>
      <c r="F415" s="5" t="str">
        <f t="shared" si="110"/>
        <v>女</v>
      </c>
      <c r="G415" s="5" t="str">
        <f>"1995-09-06"</f>
        <v>1995-09-06</v>
      </c>
      <c r="H415" s="5" t="str">
        <f>"河南大学"</f>
        <v>河南大学</v>
      </c>
    </row>
    <row r="416" s="2" customFormat="1" ht="20" customHeight="1" spans="1:8">
      <c r="A416" s="5">
        <v>414</v>
      </c>
      <c r="B416" s="5" t="str">
        <f>"223220191124092230210795"</f>
        <v>223220191124092230210795</v>
      </c>
      <c r="C416" s="5" t="s">
        <v>33</v>
      </c>
      <c r="D416" s="5" t="s">
        <v>34</v>
      </c>
      <c r="E416" s="5" t="str">
        <f>"羊梦秋"</f>
        <v>羊梦秋</v>
      </c>
      <c r="F416" s="5" t="str">
        <f t="shared" si="110"/>
        <v>女</v>
      </c>
      <c r="G416" s="5" t="str">
        <f>"1990-03-07"</f>
        <v>1990-03-07</v>
      </c>
      <c r="H416" s="5" t="str">
        <f>"井冈山大学"</f>
        <v>井冈山大学</v>
      </c>
    </row>
    <row r="417" s="2" customFormat="1" ht="20" customHeight="1" spans="1:8">
      <c r="A417" s="5">
        <v>415</v>
      </c>
      <c r="B417" s="5" t="str">
        <f>"223220191124095456210813"</f>
        <v>223220191124095456210813</v>
      </c>
      <c r="C417" s="5" t="s">
        <v>33</v>
      </c>
      <c r="D417" s="5" t="s">
        <v>34</v>
      </c>
      <c r="E417" s="5" t="str">
        <f>"李臣辉"</f>
        <v>李臣辉</v>
      </c>
      <c r="F417" s="5" t="str">
        <f t="shared" ref="F417:F420" si="111">"男"</f>
        <v>男</v>
      </c>
      <c r="G417" s="5" t="str">
        <f>"1992-07-03"</f>
        <v>1992-07-03</v>
      </c>
      <c r="H417" s="5" t="str">
        <f>"青岛理工大学"</f>
        <v>青岛理工大学</v>
      </c>
    </row>
    <row r="418" s="2" customFormat="1" ht="20" customHeight="1" spans="1:8">
      <c r="A418" s="5">
        <v>416</v>
      </c>
      <c r="B418" s="5" t="str">
        <f>"223220191124103302210837"</f>
        <v>223220191124103302210837</v>
      </c>
      <c r="C418" s="5" t="s">
        <v>33</v>
      </c>
      <c r="D418" s="5" t="s">
        <v>34</v>
      </c>
      <c r="E418" s="5" t="str">
        <f>"李光"</f>
        <v>李光</v>
      </c>
      <c r="F418" s="5" t="str">
        <f t="shared" si="111"/>
        <v>男</v>
      </c>
      <c r="G418" s="5" t="str">
        <f>"1993-03-03"</f>
        <v>1993-03-03</v>
      </c>
      <c r="H418" s="5" t="str">
        <f>"安阳工学院"</f>
        <v>安阳工学院</v>
      </c>
    </row>
    <row r="419" s="2" customFormat="1" ht="20" customHeight="1" spans="1:8">
      <c r="A419" s="5">
        <v>417</v>
      </c>
      <c r="B419" s="5" t="str">
        <f>"223220191124105528210866"</f>
        <v>223220191124105528210866</v>
      </c>
      <c r="C419" s="5" t="s">
        <v>33</v>
      </c>
      <c r="D419" s="5" t="s">
        <v>34</v>
      </c>
      <c r="E419" s="5" t="str">
        <f>"万里梅"</f>
        <v>万里梅</v>
      </c>
      <c r="F419" s="5" t="str">
        <f t="shared" ref="F419:F422" si="112">"女"</f>
        <v>女</v>
      </c>
      <c r="G419" s="5" t="str">
        <f>"1987-01-17"</f>
        <v>1987-01-17</v>
      </c>
      <c r="H419" s="5" t="str">
        <f>"郑州轻工业学院"</f>
        <v>郑州轻工业学院</v>
      </c>
    </row>
    <row r="420" s="2" customFormat="1" ht="20" customHeight="1" spans="1:8">
      <c r="A420" s="5">
        <v>418</v>
      </c>
      <c r="B420" s="5" t="str">
        <f>"223220191124110553210876"</f>
        <v>223220191124110553210876</v>
      </c>
      <c r="C420" s="5" t="s">
        <v>33</v>
      </c>
      <c r="D420" s="5" t="s">
        <v>34</v>
      </c>
      <c r="E420" s="5" t="str">
        <f>"黎永树"</f>
        <v>黎永树</v>
      </c>
      <c r="F420" s="5" t="str">
        <f>"男"</f>
        <v>男</v>
      </c>
      <c r="G420" s="5" t="str">
        <f>"1996-03-27"</f>
        <v>1996-03-27</v>
      </c>
      <c r="H420" s="5" t="str">
        <f>"海南师范大学"</f>
        <v>海南师范大学</v>
      </c>
    </row>
    <row r="421" s="2" customFormat="1" ht="20" customHeight="1" spans="1:8">
      <c r="A421" s="5">
        <v>419</v>
      </c>
      <c r="B421" s="5" t="str">
        <f>"223220191124111947210896"</f>
        <v>223220191124111947210896</v>
      </c>
      <c r="C421" s="5" t="s">
        <v>33</v>
      </c>
      <c r="D421" s="5" t="s">
        <v>34</v>
      </c>
      <c r="E421" s="5" t="str">
        <f>"许春霞"</f>
        <v>许春霞</v>
      </c>
      <c r="F421" s="5" t="str">
        <f>"女"</f>
        <v>女</v>
      </c>
      <c r="G421" s="5" t="str">
        <f>"1996-07-14"</f>
        <v>1996-07-14</v>
      </c>
      <c r="H421" s="5" t="str">
        <f>"海南大学"</f>
        <v>海南大学</v>
      </c>
    </row>
    <row r="422" s="2" customFormat="1" ht="20" customHeight="1" spans="1:8">
      <c r="A422" s="5">
        <v>420</v>
      </c>
      <c r="B422" s="5" t="str">
        <f>"223220191124121544210959"</f>
        <v>223220191124121544210959</v>
      </c>
      <c r="C422" s="5" t="s">
        <v>33</v>
      </c>
      <c r="D422" s="5" t="s">
        <v>34</v>
      </c>
      <c r="E422" s="5" t="str">
        <f>"王春玉"</f>
        <v>王春玉</v>
      </c>
      <c r="F422" s="5" t="str">
        <f>"女"</f>
        <v>女</v>
      </c>
      <c r="G422" s="5" t="str">
        <f>"1993-01-05"</f>
        <v>1993-01-05</v>
      </c>
      <c r="H422" s="5" t="str">
        <f>"广西外国语学院"</f>
        <v>广西外国语学院</v>
      </c>
    </row>
    <row r="423" s="2" customFormat="1" ht="20" customHeight="1" spans="1:8">
      <c r="A423" s="5">
        <v>421</v>
      </c>
      <c r="B423" s="5" t="str">
        <f>"223220191124131314211013"</f>
        <v>223220191124131314211013</v>
      </c>
      <c r="C423" s="5" t="s">
        <v>33</v>
      </c>
      <c r="D423" s="5" t="s">
        <v>34</v>
      </c>
      <c r="E423" s="5" t="str">
        <f>"邓桂精"</f>
        <v>邓桂精</v>
      </c>
      <c r="F423" s="5" t="str">
        <f t="shared" ref="F423:F427" si="113">"男"</f>
        <v>男</v>
      </c>
      <c r="G423" s="5" t="str">
        <f>"1996-10-05"</f>
        <v>1996-10-05</v>
      </c>
      <c r="H423" s="5" t="str">
        <f>"河南工业大学"</f>
        <v>河南工业大学</v>
      </c>
    </row>
    <row r="424" s="2" customFormat="1" ht="20" customHeight="1" spans="1:8">
      <c r="A424" s="5">
        <v>422</v>
      </c>
      <c r="B424" s="5" t="str">
        <f>"223220191124134053211037"</f>
        <v>223220191124134053211037</v>
      </c>
      <c r="C424" s="5" t="s">
        <v>33</v>
      </c>
      <c r="D424" s="5" t="s">
        <v>34</v>
      </c>
      <c r="E424" s="5" t="str">
        <f>"刘书海"</f>
        <v>刘书海</v>
      </c>
      <c r="F424" s="5" t="str">
        <f t="shared" si="113"/>
        <v>男</v>
      </c>
      <c r="G424" s="5" t="str">
        <f>"1995-02-20"</f>
        <v>1995-02-20</v>
      </c>
      <c r="H424" s="5" t="str">
        <f>"华北电力大学（北京）"</f>
        <v>华北电力大学（北京）</v>
      </c>
    </row>
    <row r="425" s="2" customFormat="1" ht="20" customHeight="1" spans="1:8">
      <c r="A425" s="5">
        <v>423</v>
      </c>
      <c r="B425" s="5" t="str">
        <f>"223220191124135505211045"</f>
        <v>223220191124135505211045</v>
      </c>
      <c r="C425" s="5" t="s">
        <v>33</v>
      </c>
      <c r="D425" s="5" t="s">
        <v>34</v>
      </c>
      <c r="E425" s="5" t="str">
        <f>"羊杰书"</f>
        <v>羊杰书</v>
      </c>
      <c r="F425" s="5" t="str">
        <f t="shared" si="113"/>
        <v>男</v>
      </c>
      <c r="G425" s="5" t="str">
        <f>"1992-11-26"</f>
        <v>1992-11-26</v>
      </c>
      <c r="H425" s="5" t="str">
        <f>"武汉纺织大学"</f>
        <v>武汉纺织大学</v>
      </c>
    </row>
    <row r="426" s="2" customFormat="1" ht="20" customHeight="1" spans="1:8">
      <c r="A426" s="5">
        <v>424</v>
      </c>
      <c r="B426" s="5" t="str">
        <f>"223220191124154047211116"</f>
        <v>223220191124154047211116</v>
      </c>
      <c r="C426" s="5" t="s">
        <v>33</v>
      </c>
      <c r="D426" s="5" t="s">
        <v>34</v>
      </c>
      <c r="E426" s="5" t="str">
        <f>"李才华"</f>
        <v>李才华</v>
      </c>
      <c r="F426" s="5" t="str">
        <f t="shared" si="113"/>
        <v>男</v>
      </c>
      <c r="G426" s="5" t="str">
        <f>"1997-01-01"</f>
        <v>1997-01-01</v>
      </c>
      <c r="H426" s="5" t="str">
        <f>"武汉工商学院"</f>
        <v>武汉工商学院</v>
      </c>
    </row>
    <row r="427" s="2" customFormat="1" ht="20" customHeight="1" spans="1:8">
      <c r="A427" s="5">
        <v>425</v>
      </c>
      <c r="B427" s="5" t="str">
        <f>"223220191124162644211149"</f>
        <v>223220191124162644211149</v>
      </c>
      <c r="C427" s="5" t="s">
        <v>33</v>
      </c>
      <c r="D427" s="5" t="s">
        <v>34</v>
      </c>
      <c r="E427" s="5" t="str">
        <f>"丁裕祥"</f>
        <v>丁裕祥</v>
      </c>
      <c r="F427" s="5" t="str">
        <f t="shared" si="113"/>
        <v>男</v>
      </c>
      <c r="G427" s="5" t="str">
        <f>"1990-09-25"</f>
        <v>1990-09-25</v>
      </c>
      <c r="H427" s="5" t="str">
        <f>"内蒙古工业大学"</f>
        <v>内蒙古工业大学</v>
      </c>
    </row>
    <row r="428" s="2" customFormat="1" ht="20" customHeight="1" spans="1:8">
      <c r="A428" s="5">
        <v>426</v>
      </c>
      <c r="B428" s="5" t="str">
        <f>"223220191124164608211163"</f>
        <v>223220191124164608211163</v>
      </c>
      <c r="C428" s="5" t="s">
        <v>33</v>
      </c>
      <c r="D428" s="5" t="s">
        <v>34</v>
      </c>
      <c r="E428" s="5" t="str">
        <f>"符庆莉"</f>
        <v>符庆莉</v>
      </c>
      <c r="F428" s="5" t="str">
        <f t="shared" ref="F428:F433" si="114">"女"</f>
        <v>女</v>
      </c>
      <c r="G428" s="5" t="str">
        <f>"1995-12-08"</f>
        <v>1995-12-08</v>
      </c>
      <c r="H428" s="5" t="str">
        <f>"忻州师范学院"</f>
        <v>忻州师范学院</v>
      </c>
    </row>
    <row r="429" s="2" customFormat="1" ht="20" customHeight="1" spans="1:8">
      <c r="A429" s="5">
        <v>427</v>
      </c>
      <c r="B429" s="5" t="str">
        <f>"223220191124165321211168"</f>
        <v>223220191124165321211168</v>
      </c>
      <c r="C429" s="5" t="s">
        <v>33</v>
      </c>
      <c r="D429" s="5" t="s">
        <v>34</v>
      </c>
      <c r="E429" s="5" t="str">
        <f>"黄汉师"</f>
        <v>黄汉师</v>
      </c>
      <c r="F429" s="5" t="str">
        <f t="shared" ref="F429:F432" si="115">"男"</f>
        <v>男</v>
      </c>
      <c r="G429" s="5" t="str">
        <f>"1993-06-04"</f>
        <v>1993-06-04</v>
      </c>
      <c r="H429" s="5" t="str">
        <f>"内蒙古科技大学"</f>
        <v>内蒙古科技大学</v>
      </c>
    </row>
    <row r="430" s="2" customFormat="1" ht="20" customHeight="1" spans="1:8">
      <c r="A430" s="5">
        <v>428</v>
      </c>
      <c r="B430" s="5" t="str">
        <f>"223220191124171330211178"</f>
        <v>223220191124171330211178</v>
      </c>
      <c r="C430" s="5" t="s">
        <v>33</v>
      </c>
      <c r="D430" s="5" t="s">
        <v>34</v>
      </c>
      <c r="E430" s="5" t="str">
        <f>"苏艳芳"</f>
        <v>苏艳芳</v>
      </c>
      <c r="F430" s="5" t="str">
        <f>"女"</f>
        <v>女</v>
      </c>
      <c r="G430" s="5" t="str">
        <f>"1990-11-01"</f>
        <v>1990-11-01</v>
      </c>
      <c r="H430" s="5" t="str">
        <f>"井冈山大学"</f>
        <v>井冈山大学</v>
      </c>
    </row>
    <row r="431" s="2" customFormat="1" ht="20" customHeight="1" spans="1:8">
      <c r="A431" s="5">
        <v>429</v>
      </c>
      <c r="B431" s="5" t="str">
        <f>"223220191124172214211182"</f>
        <v>223220191124172214211182</v>
      </c>
      <c r="C431" s="5" t="s">
        <v>33</v>
      </c>
      <c r="D431" s="5" t="s">
        <v>34</v>
      </c>
      <c r="E431" s="5" t="str">
        <f>"何坚鹍"</f>
        <v>何坚鹍</v>
      </c>
      <c r="F431" s="5" t="str">
        <f>"男"</f>
        <v>男</v>
      </c>
      <c r="G431" s="5" t="str">
        <f>"1995-05-24"</f>
        <v>1995-05-24</v>
      </c>
      <c r="H431" s="5" t="str">
        <f>"南昌大学共青学院"</f>
        <v>南昌大学共青学院</v>
      </c>
    </row>
    <row r="432" s="2" customFormat="1" ht="20" customHeight="1" spans="1:8">
      <c r="A432" s="5">
        <v>430</v>
      </c>
      <c r="B432" s="5" t="str">
        <f>"223220191124173016211189"</f>
        <v>223220191124173016211189</v>
      </c>
      <c r="C432" s="5" t="s">
        <v>33</v>
      </c>
      <c r="D432" s="5" t="s">
        <v>34</v>
      </c>
      <c r="E432" s="5" t="str">
        <f>"黄俊桦"</f>
        <v>黄俊桦</v>
      </c>
      <c r="F432" s="5" t="str">
        <f>"男"</f>
        <v>男</v>
      </c>
      <c r="G432" s="5" t="str">
        <f>"1997-01-01"</f>
        <v>1997-01-01</v>
      </c>
      <c r="H432" s="5" t="str">
        <f>"大连海洋大学"</f>
        <v>大连海洋大学</v>
      </c>
    </row>
    <row r="433" s="2" customFormat="1" ht="20" customHeight="1" spans="1:8">
      <c r="A433" s="5">
        <v>431</v>
      </c>
      <c r="B433" s="5" t="str">
        <f>"223220191124184102211239"</f>
        <v>223220191124184102211239</v>
      </c>
      <c r="C433" s="5" t="s">
        <v>33</v>
      </c>
      <c r="D433" s="5" t="s">
        <v>34</v>
      </c>
      <c r="E433" s="5" t="str">
        <f>"王芳"</f>
        <v>王芳</v>
      </c>
      <c r="F433" s="5" t="str">
        <f>"女"</f>
        <v>女</v>
      </c>
      <c r="G433" s="5" t="str">
        <f>"1994-07-01"</f>
        <v>1994-07-01</v>
      </c>
      <c r="H433" s="5" t="str">
        <f>"河南理工大学"</f>
        <v>河南理工大学</v>
      </c>
    </row>
    <row r="434" s="2" customFormat="1" ht="20" customHeight="1" spans="1:8">
      <c r="A434" s="5">
        <v>432</v>
      </c>
      <c r="B434" s="5" t="str">
        <f>"223220191124195049211292"</f>
        <v>223220191124195049211292</v>
      </c>
      <c r="C434" s="5" t="s">
        <v>33</v>
      </c>
      <c r="D434" s="5" t="s">
        <v>34</v>
      </c>
      <c r="E434" s="5" t="str">
        <f>"林喜静"</f>
        <v>林喜静</v>
      </c>
      <c r="F434" s="5" t="str">
        <f t="shared" ref="F434:F439" si="116">"男"</f>
        <v>男</v>
      </c>
      <c r="G434" s="5" t="str">
        <f>"1995-09-15"</f>
        <v>1995-09-15</v>
      </c>
      <c r="H434" s="5" t="str">
        <f>"湖南工学院"</f>
        <v>湖南工学院</v>
      </c>
    </row>
    <row r="435" s="2" customFormat="1" ht="20" customHeight="1" spans="1:8">
      <c r="A435" s="5">
        <v>433</v>
      </c>
      <c r="B435" s="5" t="str">
        <f>"223220191124203017211333"</f>
        <v>223220191124203017211333</v>
      </c>
      <c r="C435" s="5" t="s">
        <v>33</v>
      </c>
      <c r="D435" s="5" t="s">
        <v>34</v>
      </c>
      <c r="E435" s="5" t="str">
        <f>"蔡沾华"</f>
        <v>蔡沾华</v>
      </c>
      <c r="F435" s="5" t="str">
        <f t="shared" si="116"/>
        <v>男</v>
      </c>
      <c r="G435" s="5" t="str">
        <f>"1990-02-03"</f>
        <v>1990-02-03</v>
      </c>
      <c r="H435" s="5" t="str">
        <f>"海南大学"</f>
        <v>海南大学</v>
      </c>
    </row>
    <row r="436" s="2" customFormat="1" ht="20" customHeight="1" spans="1:8">
      <c r="A436" s="5">
        <v>434</v>
      </c>
      <c r="B436" s="5" t="str">
        <f>"223220191124203316211334"</f>
        <v>223220191124203316211334</v>
      </c>
      <c r="C436" s="5" t="s">
        <v>33</v>
      </c>
      <c r="D436" s="5" t="s">
        <v>34</v>
      </c>
      <c r="E436" s="5" t="str">
        <f>"李顺美"</f>
        <v>李顺美</v>
      </c>
      <c r="F436" s="5" t="str">
        <f>"女"</f>
        <v>女</v>
      </c>
      <c r="G436" s="5" t="str">
        <f>"1992-01-02"</f>
        <v>1992-01-02</v>
      </c>
      <c r="H436" s="5" t="str">
        <f>"海南师范大学"</f>
        <v>海南师范大学</v>
      </c>
    </row>
    <row r="437" s="2" customFormat="1" ht="20" customHeight="1" spans="1:8">
      <c r="A437" s="5">
        <v>435</v>
      </c>
      <c r="B437" s="5" t="str">
        <f>"223220191124203709211340"</f>
        <v>223220191124203709211340</v>
      </c>
      <c r="C437" s="5" t="s">
        <v>33</v>
      </c>
      <c r="D437" s="5" t="s">
        <v>34</v>
      </c>
      <c r="E437" s="5" t="str">
        <f>"符新颖"</f>
        <v>符新颖</v>
      </c>
      <c r="F437" s="5" t="str">
        <f t="shared" ref="F437:F439" si="117">"男"</f>
        <v>男</v>
      </c>
      <c r="G437" s="5" t="str">
        <f>"1997-06-15"</f>
        <v>1997-06-15</v>
      </c>
      <c r="H437" s="5" t="str">
        <f>"西北师范大学"</f>
        <v>西北师范大学</v>
      </c>
    </row>
    <row r="438" s="2" customFormat="1" ht="20" customHeight="1" spans="1:8">
      <c r="A438" s="5">
        <v>436</v>
      </c>
      <c r="B438" s="5" t="str">
        <f>"223220191124210043211364"</f>
        <v>223220191124210043211364</v>
      </c>
      <c r="C438" s="5" t="s">
        <v>33</v>
      </c>
      <c r="D438" s="5" t="s">
        <v>34</v>
      </c>
      <c r="E438" s="5" t="str">
        <f>"高峰"</f>
        <v>高峰</v>
      </c>
      <c r="F438" s="5" t="str">
        <f t="shared" si="117"/>
        <v>男</v>
      </c>
      <c r="G438" s="5" t="str">
        <f>"1994-09-10"</f>
        <v>1994-09-10</v>
      </c>
      <c r="H438" s="5" t="str">
        <f>"天津理工大学"</f>
        <v>天津理工大学</v>
      </c>
    </row>
    <row r="439" s="2" customFormat="1" ht="20" customHeight="1" spans="1:8">
      <c r="A439" s="5">
        <v>437</v>
      </c>
      <c r="B439" s="5" t="str">
        <f>"223220191124214153211408"</f>
        <v>223220191124214153211408</v>
      </c>
      <c r="C439" s="5" t="s">
        <v>33</v>
      </c>
      <c r="D439" s="5" t="s">
        <v>34</v>
      </c>
      <c r="E439" s="5" t="str">
        <f>"陈尚元"</f>
        <v>陈尚元</v>
      </c>
      <c r="F439" s="5" t="str">
        <f t="shared" si="117"/>
        <v>男</v>
      </c>
      <c r="G439" s="5" t="str">
        <f>"1990-05-25"</f>
        <v>1990-05-25</v>
      </c>
      <c r="H439" s="5" t="str">
        <f>"三峡大学科技学院"</f>
        <v>三峡大学科技学院</v>
      </c>
    </row>
    <row r="440" s="2" customFormat="1" ht="20" customHeight="1" spans="1:8">
      <c r="A440" s="5">
        <v>438</v>
      </c>
      <c r="B440" s="5" t="str">
        <f>"223220191124220056211417"</f>
        <v>223220191124220056211417</v>
      </c>
      <c r="C440" s="5" t="s">
        <v>33</v>
      </c>
      <c r="D440" s="5" t="s">
        <v>34</v>
      </c>
      <c r="E440" s="5" t="str">
        <f>"黄河柳"</f>
        <v>黄河柳</v>
      </c>
      <c r="F440" s="5" t="str">
        <f>"女"</f>
        <v>女</v>
      </c>
      <c r="G440" s="5" t="str">
        <f>"1991-09-26"</f>
        <v>1991-09-26</v>
      </c>
      <c r="H440" s="5" t="str">
        <f>"海口经济学院"</f>
        <v>海口经济学院</v>
      </c>
    </row>
    <row r="441" s="2" customFormat="1" ht="20" customHeight="1" spans="1:8">
      <c r="A441" s="5">
        <v>439</v>
      </c>
      <c r="B441" s="5" t="str">
        <f>"223220191124221301211429"</f>
        <v>223220191124221301211429</v>
      </c>
      <c r="C441" s="5" t="s">
        <v>33</v>
      </c>
      <c r="D441" s="5" t="s">
        <v>34</v>
      </c>
      <c r="E441" s="5" t="str">
        <f>"王钟金"</f>
        <v>王钟金</v>
      </c>
      <c r="F441" s="5" t="str">
        <f t="shared" ref="F441:F444" si="118">"男"</f>
        <v>男</v>
      </c>
      <c r="G441" s="5" t="str">
        <f>"1986-05-06"</f>
        <v>1986-05-06</v>
      </c>
      <c r="H441" s="5" t="str">
        <f>"山东师范大学"</f>
        <v>山东师范大学</v>
      </c>
    </row>
    <row r="442" s="2" customFormat="1" ht="20" customHeight="1" spans="1:8">
      <c r="A442" s="5">
        <v>440</v>
      </c>
      <c r="B442" s="5" t="str">
        <f>"223220191124230533211461"</f>
        <v>223220191124230533211461</v>
      </c>
      <c r="C442" s="5" t="s">
        <v>33</v>
      </c>
      <c r="D442" s="5" t="s">
        <v>34</v>
      </c>
      <c r="E442" s="5" t="str">
        <f>"郑应平"</f>
        <v>郑应平</v>
      </c>
      <c r="F442" s="5" t="str">
        <f t="shared" si="118"/>
        <v>男</v>
      </c>
      <c r="G442" s="5" t="str">
        <f>"1993-05-10"</f>
        <v>1993-05-10</v>
      </c>
      <c r="H442" s="5" t="str">
        <f>"三亚学院"</f>
        <v>三亚学院</v>
      </c>
    </row>
    <row r="443" s="2" customFormat="1" ht="20" customHeight="1" spans="1:8">
      <c r="A443" s="5">
        <v>441</v>
      </c>
      <c r="B443" s="5" t="str">
        <f>"223220191124232725211472"</f>
        <v>223220191124232725211472</v>
      </c>
      <c r="C443" s="5" t="s">
        <v>33</v>
      </c>
      <c r="D443" s="5" t="s">
        <v>34</v>
      </c>
      <c r="E443" s="5" t="str">
        <f>"吕炳耀"</f>
        <v>吕炳耀</v>
      </c>
      <c r="F443" s="5" t="str">
        <f t="shared" si="118"/>
        <v>男</v>
      </c>
      <c r="G443" s="5" t="str">
        <f>"1996-09-19"</f>
        <v>1996-09-19</v>
      </c>
      <c r="H443" s="5" t="str">
        <f>"辽宁财贸学院"</f>
        <v>辽宁财贸学院</v>
      </c>
    </row>
    <row r="444" s="2" customFormat="1" ht="20" customHeight="1" spans="1:8">
      <c r="A444" s="5">
        <v>442</v>
      </c>
      <c r="B444" s="5" t="str">
        <f>"223220191125081617211513"</f>
        <v>223220191125081617211513</v>
      </c>
      <c r="C444" s="5" t="s">
        <v>33</v>
      </c>
      <c r="D444" s="5" t="s">
        <v>34</v>
      </c>
      <c r="E444" s="5" t="str">
        <f>"符崇河"</f>
        <v>符崇河</v>
      </c>
      <c r="F444" s="5" t="str">
        <f t="shared" si="118"/>
        <v>男</v>
      </c>
      <c r="G444" s="5" t="str">
        <f>"1991-06-15"</f>
        <v>1991-06-15</v>
      </c>
      <c r="H444" s="5" t="str">
        <f>"南华大学"</f>
        <v>南华大学</v>
      </c>
    </row>
    <row r="445" s="2" customFormat="1" ht="20" customHeight="1" spans="1:8">
      <c r="A445" s="5">
        <v>443</v>
      </c>
      <c r="B445" s="5" t="str">
        <f>"223220191125082816211525"</f>
        <v>223220191125082816211525</v>
      </c>
      <c r="C445" s="5" t="s">
        <v>33</v>
      </c>
      <c r="D445" s="5" t="s">
        <v>34</v>
      </c>
      <c r="E445" s="5" t="str">
        <f>"廖邦静"</f>
        <v>廖邦静</v>
      </c>
      <c r="F445" s="5" t="str">
        <f t="shared" ref="F445:F452" si="119">"女"</f>
        <v>女</v>
      </c>
      <c r="G445" s="5" t="str">
        <f>"1991-02-07"</f>
        <v>1991-02-07</v>
      </c>
      <c r="H445" s="5" t="str">
        <f>"海南大学"</f>
        <v>海南大学</v>
      </c>
    </row>
    <row r="446" s="2" customFormat="1" ht="20" customHeight="1" spans="1:8">
      <c r="A446" s="5">
        <v>444</v>
      </c>
      <c r="B446" s="5" t="str">
        <f>"223220191125083343211533"</f>
        <v>223220191125083343211533</v>
      </c>
      <c r="C446" s="5" t="s">
        <v>33</v>
      </c>
      <c r="D446" s="5" t="s">
        <v>34</v>
      </c>
      <c r="E446" s="5" t="str">
        <f>"王育豪"</f>
        <v>王育豪</v>
      </c>
      <c r="F446" s="5" t="str">
        <f t="shared" ref="F446:F449" si="120">"男"</f>
        <v>男</v>
      </c>
      <c r="G446" s="5" t="str">
        <f>"1996-11-05"</f>
        <v>1996-11-05</v>
      </c>
      <c r="H446" s="5" t="str">
        <f>"武汉工程大学邮电与信息工程学院"</f>
        <v>武汉工程大学邮电与信息工程学院</v>
      </c>
    </row>
    <row r="447" s="2" customFormat="1" ht="20" customHeight="1" spans="1:8">
      <c r="A447" s="5">
        <v>445</v>
      </c>
      <c r="B447" s="5" t="str">
        <f>"223220191125083721211538"</f>
        <v>223220191125083721211538</v>
      </c>
      <c r="C447" s="5" t="s">
        <v>33</v>
      </c>
      <c r="D447" s="5" t="s">
        <v>34</v>
      </c>
      <c r="E447" s="5" t="str">
        <f>"黎冠娜"</f>
        <v>黎冠娜</v>
      </c>
      <c r="F447" s="5" t="str">
        <f t="shared" ref="F447:F452" si="121">"女"</f>
        <v>女</v>
      </c>
      <c r="G447" s="5" t="str">
        <f>"1988-01-08"</f>
        <v>1988-01-08</v>
      </c>
      <c r="H447" s="5" t="str">
        <f>"广西省梧州学院"</f>
        <v>广西省梧州学院</v>
      </c>
    </row>
    <row r="448" s="2" customFormat="1" ht="20" customHeight="1" spans="1:8">
      <c r="A448" s="5">
        <v>446</v>
      </c>
      <c r="B448" s="5" t="str">
        <f>"223220191125085602211576"</f>
        <v>223220191125085602211576</v>
      </c>
      <c r="C448" s="5" t="s">
        <v>33</v>
      </c>
      <c r="D448" s="5" t="s">
        <v>34</v>
      </c>
      <c r="E448" s="5" t="str">
        <f>"吴乾耀"</f>
        <v>吴乾耀</v>
      </c>
      <c r="F448" s="5" t="str">
        <f>"男"</f>
        <v>男</v>
      </c>
      <c r="G448" s="5" t="str">
        <f>"1987-10-25"</f>
        <v>1987-10-25</v>
      </c>
      <c r="H448" s="5" t="str">
        <f>"武汉工程大学邮电与信息工程学院"</f>
        <v>武汉工程大学邮电与信息工程学院</v>
      </c>
    </row>
    <row r="449" s="2" customFormat="1" ht="20" customHeight="1" spans="1:8">
      <c r="A449" s="5">
        <v>447</v>
      </c>
      <c r="B449" s="5" t="str">
        <f>"223220191125090553211599"</f>
        <v>223220191125090553211599</v>
      </c>
      <c r="C449" s="5" t="s">
        <v>33</v>
      </c>
      <c r="D449" s="5" t="s">
        <v>34</v>
      </c>
      <c r="E449" s="5" t="str">
        <f>"黎于伟"</f>
        <v>黎于伟</v>
      </c>
      <c r="F449" s="5" t="str">
        <f>"男"</f>
        <v>男</v>
      </c>
      <c r="G449" s="5" t="str">
        <f>"1990-05-08"</f>
        <v>1990-05-08</v>
      </c>
      <c r="H449" s="5" t="str">
        <f>"南昌理工学院"</f>
        <v>南昌理工学院</v>
      </c>
    </row>
    <row r="450" s="2" customFormat="1" ht="20" customHeight="1" spans="1:8">
      <c r="A450" s="5">
        <v>448</v>
      </c>
      <c r="B450" s="5" t="str">
        <f>"223220191125092554211643"</f>
        <v>223220191125092554211643</v>
      </c>
      <c r="C450" s="5" t="s">
        <v>33</v>
      </c>
      <c r="D450" s="5" t="s">
        <v>34</v>
      </c>
      <c r="E450" s="5" t="str">
        <f>"李源"</f>
        <v>李源</v>
      </c>
      <c r="F450" s="5" t="str">
        <f>"女"</f>
        <v>女</v>
      </c>
      <c r="G450" s="5" t="str">
        <f>"1995-05-10"</f>
        <v>1995-05-10</v>
      </c>
      <c r="H450" s="5" t="str">
        <f>"太原工业学院"</f>
        <v>太原工业学院</v>
      </c>
    </row>
    <row r="451" s="2" customFormat="1" ht="20" customHeight="1" spans="1:8">
      <c r="A451" s="5">
        <v>449</v>
      </c>
      <c r="B451" s="5" t="str">
        <f>"223220191125093858211676"</f>
        <v>223220191125093858211676</v>
      </c>
      <c r="C451" s="5" t="s">
        <v>33</v>
      </c>
      <c r="D451" s="5" t="s">
        <v>34</v>
      </c>
      <c r="E451" s="5" t="str">
        <f>"郑以震"</f>
        <v>郑以震</v>
      </c>
      <c r="F451" s="5" t="str">
        <f>"女"</f>
        <v>女</v>
      </c>
      <c r="G451" s="5" t="str">
        <f>"1995-05-29"</f>
        <v>1995-05-29</v>
      </c>
      <c r="H451" s="5" t="str">
        <f>"华东交通大学"</f>
        <v>华东交通大学</v>
      </c>
    </row>
    <row r="452" s="2" customFormat="1" ht="20" customHeight="1" spans="1:8">
      <c r="A452" s="5">
        <v>450</v>
      </c>
      <c r="B452" s="5" t="str">
        <f>"223220191125095721211711"</f>
        <v>223220191125095721211711</v>
      </c>
      <c r="C452" s="5" t="s">
        <v>33</v>
      </c>
      <c r="D452" s="5" t="s">
        <v>34</v>
      </c>
      <c r="E452" s="5" t="str">
        <f>"彭慧平"</f>
        <v>彭慧平</v>
      </c>
      <c r="F452" s="5" t="str">
        <f>"女"</f>
        <v>女</v>
      </c>
      <c r="G452" s="5" t="str">
        <f>"1993-12-25"</f>
        <v>1993-12-25</v>
      </c>
      <c r="H452" s="5" t="str">
        <f>"海南大学"</f>
        <v>海南大学</v>
      </c>
    </row>
    <row r="453" s="2" customFormat="1" ht="20" customHeight="1" spans="1:8">
      <c r="A453" s="5">
        <v>451</v>
      </c>
      <c r="B453" s="5" t="str">
        <f>"223220191125095816211715"</f>
        <v>223220191125095816211715</v>
      </c>
      <c r="C453" s="5" t="s">
        <v>33</v>
      </c>
      <c r="D453" s="5" t="s">
        <v>34</v>
      </c>
      <c r="E453" s="5" t="str">
        <f>"陈弘"</f>
        <v>陈弘</v>
      </c>
      <c r="F453" s="5" t="str">
        <f t="shared" ref="F453:F456" si="122">"男"</f>
        <v>男</v>
      </c>
      <c r="G453" s="5" t="str">
        <f>"1994-12-26"</f>
        <v>1994-12-26</v>
      </c>
      <c r="H453" s="5" t="str">
        <f>"吉林医药学院"</f>
        <v>吉林医药学院</v>
      </c>
    </row>
    <row r="454" s="2" customFormat="1" ht="20" customHeight="1" spans="1:8">
      <c r="A454" s="5">
        <v>452</v>
      </c>
      <c r="B454" s="5" t="str">
        <f>"223220191125101003211743"</f>
        <v>223220191125101003211743</v>
      </c>
      <c r="C454" s="5" t="s">
        <v>33</v>
      </c>
      <c r="D454" s="5" t="s">
        <v>34</v>
      </c>
      <c r="E454" s="5" t="str">
        <f>"徐伟姣"</f>
        <v>徐伟姣</v>
      </c>
      <c r="F454" s="5" t="str">
        <f>"女"</f>
        <v>女</v>
      </c>
      <c r="G454" s="5" t="str">
        <f>"1987-12-28"</f>
        <v>1987-12-28</v>
      </c>
      <c r="H454" s="5" t="str">
        <f>"成都理工大学"</f>
        <v>成都理工大学</v>
      </c>
    </row>
    <row r="455" s="2" customFormat="1" ht="20" customHeight="1" spans="1:8">
      <c r="A455" s="5">
        <v>453</v>
      </c>
      <c r="B455" s="5" t="str">
        <f>"223220191125101746211754"</f>
        <v>223220191125101746211754</v>
      </c>
      <c r="C455" s="5" t="s">
        <v>33</v>
      </c>
      <c r="D455" s="5" t="s">
        <v>34</v>
      </c>
      <c r="E455" s="5" t="str">
        <f>"符新武"</f>
        <v>符新武</v>
      </c>
      <c r="F455" s="5" t="str">
        <f>"男"</f>
        <v>男</v>
      </c>
      <c r="G455" s="5" t="str">
        <f>"1996-10-30"</f>
        <v>1996-10-30</v>
      </c>
      <c r="H455" s="5" t="str">
        <f>"运城学院"</f>
        <v>运城学院</v>
      </c>
    </row>
    <row r="456" s="2" customFormat="1" ht="20" customHeight="1" spans="1:8">
      <c r="A456" s="5">
        <v>454</v>
      </c>
      <c r="B456" s="5" t="str">
        <f>"223220191125103509211787"</f>
        <v>223220191125103509211787</v>
      </c>
      <c r="C456" s="5" t="s">
        <v>33</v>
      </c>
      <c r="D456" s="5" t="s">
        <v>34</v>
      </c>
      <c r="E456" s="5" t="str">
        <f>"张盛强"</f>
        <v>张盛强</v>
      </c>
      <c r="F456" s="5" t="str">
        <f>"男"</f>
        <v>男</v>
      </c>
      <c r="G456" s="5" t="str">
        <f>"1990-08-28"</f>
        <v>1990-08-28</v>
      </c>
      <c r="H456" s="5" t="str">
        <f>"广西大学"</f>
        <v>广西大学</v>
      </c>
    </row>
    <row r="457" s="2" customFormat="1" ht="20" customHeight="1" spans="1:8">
      <c r="A457" s="5">
        <v>455</v>
      </c>
      <c r="B457" s="5" t="str">
        <f>"223220191125104214211802"</f>
        <v>223220191125104214211802</v>
      </c>
      <c r="C457" s="5" t="s">
        <v>33</v>
      </c>
      <c r="D457" s="5" t="s">
        <v>34</v>
      </c>
      <c r="E457" s="5" t="str">
        <f>"蔡惠娇"</f>
        <v>蔡惠娇</v>
      </c>
      <c r="F457" s="5" t="str">
        <f>"女"</f>
        <v>女</v>
      </c>
      <c r="G457" s="5" t="str">
        <f>"1991-09-07"</f>
        <v>1991-09-07</v>
      </c>
      <c r="H457" s="5" t="str">
        <f>"海口经济学院"</f>
        <v>海口经济学院</v>
      </c>
    </row>
    <row r="458" s="2" customFormat="1" ht="20" customHeight="1" spans="1:8">
      <c r="A458" s="5">
        <v>456</v>
      </c>
      <c r="B458" s="5" t="str">
        <f>"223220191125110422211842"</f>
        <v>223220191125110422211842</v>
      </c>
      <c r="C458" s="5" t="s">
        <v>33</v>
      </c>
      <c r="D458" s="5" t="s">
        <v>34</v>
      </c>
      <c r="E458" s="5" t="str">
        <f>"王广锡"</f>
        <v>王广锡</v>
      </c>
      <c r="F458" s="5" t="str">
        <f t="shared" ref="F458:F462" si="123">"男"</f>
        <v>男</v>
      </c>
      <c r="G458" s="5" t="str">
        <f>"1996-03-26"</f>
        <v>1996-03-26</v>
      </c>
      <c r="H458" s="5" t="str">
        <f>"长春理工大学光电信息学院"</f>
        <v>长春理工大学光电信息学院</v>
      </c>
    </row>
    <row r="459" s="2" customFormat="1" ht="20" customHeight="1" spans="1:8">
      <c r="A459" s="5">
        <v>457</v>
      </c>
      <c r="B459" s="5" t="str">
        <f>"223220191125111002211859"</f>
        <v>223220191125111002211859</v>
      </c>
      <c r="C459" s="5" t="s">
        <v>33</v>
      </c>
      <c r="D459" s="5" t="s">
        <v>34</v>
      </c>
      <c r="E459" s="5" t="str">
        <f>"易兴华"</f>
        <v>易兴华</v>
      </c>
      <c r="F459" s="5" t="str">
        <f t="shared" si="123"/>
        <v>男</v>
      </c>
      <c r="G459" s="5" t="str">
        <f>"1991-03-29"</f>
        <v>1991-03-29</v>
      </c>
      <c r="H459" s="5" t="str">
        <f>"广东石油化工学院"</f>
        <v>广东石油化工学院</v>
      </c>
    </row>
    <row r="460" s="2" customFormat="1" ht="20" customHeight="1" spans="1:8">
      <c r="A460" s="5">
        <v>458</v>
      </c>
      <c r="B460" s="5" t="str">
        <f>"223220191125111329211867"</f>
        <v>223220191125111329211867</v>
      </c>
      <c r="C460" s="5" t="s">
        <v>33</v>
      </c>
      <c r="D460" s="5" t="s">
        <v>34</v>
      </c>
      <c r="E460" s="5" t="str">
        <f>"许燕"</f>
        <v>许燕</v>
      </c>
      <c r="F460" s="5" t="str">
        <f t="shared" ref="F460:F467" si="124">"女"</f>
        <v>女</v>
      </c>
      <c r="G460" s="5" t="str">
        <f>"1995-03-16"</f>
        <v>1995-03-16</v>
      </c>
      <c r="H460" s="5" t="str">
        <f>"三亚学院"</f>
        <v>三亚学院</v>
      </c>
    </row>
    <row r="461" s="2" customFormat="1" ht="20" customHeight="1" spans="1:8">
      <c r="A461" s="5">
        <v>459</v>
      </c>
      <c r="B461" s="5" t="str">
        <f>"223220191125113807211913"</f>
        <v>223220191125113807211913</v>
      </c>
      <c r="C461" s="5" t="s">
        <v>33</v>
      </c>
      <c r="D461" s="5" t="s">
        <v>34</v>
      </c>
      <c r="E461" s="5" t="str">
        <f>"陈东蕃"</f>
        <v>陈东蕃</v>
      </c>
      <c r="F461" s="5" t="str">
        <f t="shared" ref="F461:F464" si="125">"男"</f>
        <v>男</v>
      </c>
      <c r="G461" s="5" t="str">
        <f>"1993-05-12"</f>
        <v>1993-05-12</v>
      </c>
      <c r="H461" s="5" t="str">
        <f>"电子科技大学成都学院"</f>
        <v>电子科技大学成都学院</v>
      </c>
    </row>
    <row r="462" s="2" customFormat="1" ht="20" customHeight="1" spans="1:8">
      <c r="A462" s="5">
        <v>460</v>
      </c>
      <c r="B462" s="5" t="str">
        <f>"223220191125113830211914"</f>
        <v>223220191125113830211914</v>
      </c>
      <c r="C462" s="5" t="s">
        <v>33</v>
      </c>
      <c r="D462" s="5" t="s">
        <v>34</v>
      </c>
      <c r="E462" s="5" t="str">
        <f>"董开安"</f>
        <v>董开安</v>
      </c>
      <c r="F462" s="5" t="str">
        <f t="shared" si="125"/>
        <v>男</v>
      </c>
      <c r="G462" s="5" t="str">
        <f>"1992-08-25"</f>
        <v>1992-08-25</v>
      </c>
      <c r="H462" s="5" t="str">
        <f>"西北工业大学明德学院"</f>
        <v>西北工业大学明德学院</v>
      </c>
    </row>
    <row r="463" s="2" customFormat="1" ht="20" customHeight="1" spans="1:8">
      <c r="A463" s="5">
        <v>461</v>
      </c>
      <c r="B463" s="5" t="str">
        <f>"223220191125114044211920"</f>
        <v>223220191125114044211920</v>
      </c>
      <c r="C463" s="5" t="s">
        <v>33</v>
      </c>
      <c r="D463" s="5" t="s">
        <v>34</v>
      </c>
      <c r="E463" s="5" t="str">
        <f>"李桂燕"</f>
        <v>李桂燕</v>
      </c>
      <c r="F463" s="5" t="str">
        <f t="shared" ref="F463:F467" si="126">"女"</f>
        <v>女</v>
      </c>
      <c r="G463" s="5" t="str">
        <f>"1995-04-15"</f>
        <v>1995-04-15</v>
      </c>
      <c r="H463" s="5" t="str">
        <f>"北京科技大学天津学院"</f>
        <v>北京科技大学天津学院</v>
      </c>
    </row>
    <row r="464" s="2" customFormat="1" ht="20" customHeight="1" spans="1:8">
      <c r="A464" s="5">
        <v>462</v>
      </c>
      <c r="B464" s="5" t="str">
        <f>"223220191125115511211958"</f>
        <v>223220191125115511211958</v>
      </c>
      <c r="C464" s="5" t="s">
        <v>33</v>
      </c>
      <c r="D464" s="5" t="s">
        <v>34</v>
      </c>
      <c r="E464" s="5" t="str">
        <f>"朱衍卿"</f>
        <v>朱衍卿</v>
      </c>
      <c r="F464" s="5" t="str">
        <f>"男"</f>
        <v>男</v>
      </c>
      <c r="G464" s="5" t="str">
        <f>"1993-01-18"</f>
        <v>1993-01-18</v>
      </c>
      <c r="H464" s="5" t="str">
        <f>"海南师范大学"</f>
        <v>海南师范大学</v>
      </c>
    </row>
    <row r="465" s="2" customFormat="1" ht="20" customHeight="1" spans="1:8">
      <c r="A465" s="5">
        <v>463</v>
      </c>
      <c r="B465" s="5" t="str">
        <f>"223220191125125217212014"</f>
        <v>223220191125125217212014</v>
      </c>
      <c r="C465" s="5" t="s">
        <v>33</v>
      </c>
      <c r="D465" s="5" t="s">
        <v>34</v>
      </c>
      <c r="E465" s="5" t="str">
        <f>"张彬娜"</f>
        <v>张彬娜</v>
      </c>
      <c r="F465" s="5" t="str">
        <f>"女"</f>
        <v>女</v>
      </c>
      <c r="G465" s="5" t="str">
        <f>"1992-02-27"</f>
        <v>1992-02-27</v>
      </c>
      <c r="H465" s="5" t="str">
        <f>"海南医学院"</f>
        <v>海南医学院</v>
      </c>
    </row>
    <row r="466" s="2" customFormat="1" ht="20" customHeight="1" spans="1:8">
      <c r="A466" s="5">
        <v>464</v>
      </c>
      <c r="B466" s="5" t="str">
        <f>"223220191125125609212020"</f>
        <v>223220191125125609212020</v>
      </c>
      <c r="C466" s="5" t="s">
        <v>33</v>
      </c>
      <c r="D466" s="5" t="s">
        <v>34</v>
      </c>
      <c r="E466" s="5" t="str">
        <f>"李丽芳"</f>
        <v>李丽芳</v>
      </c>
      <c r="F466" s="5" t="str">
        <f>"女"</f>
        <v>女</v>
      </c>
      <c r="G466" s="5" t="str">
        <f>"1992-10-29"</f>
        <v>1992-10-29</v>
      </c>
      <c r="H466" s="5" t="str">
        <f>"海南大学"</f>
        <v>海南大学</v>
      </c>
    </row>
    <row r="467" s="2" customFormat="1" ht="20" customHeight="1" spans="1:8">
      <c r="A467" s="5">
        <v>465</v>
      </c>
      <c r="B467" s="5" t="str">
        <f>"223220191125125717212022"</f>
        <v>223220191125125717212022</v>
      </c>
      <c r="C467" s="5" t="s">
        <v>33</v>
      </c>
      <c r="D467" s="5" t="s">
        <v>34</v>
      </c>
      <c r="E467" s="5" t="str">
        <f>"王焕英"</f>
        <v>王焕英</v>
      </c>
      <c r="F467" s="5" t="str">
        <f>"女"</f>
        <v>女</v>
      </c>
      <c r="G467" s="5" t="str">
        <f>"1992-03-05"</f>
        <v>1992-03-05</v>
      </c>
      <c r="H467" s="5" t="str">
        <f>"大连大学"</f>
        <v>大连大学</v>
      </c>
    </row>
    <row r="468" s="2" customFormat="1" ht="20" customHeight="1" spans="1:8">
      <c r="A468" s="5">
        <v>466</v>
      </c>
      <c r="B468" s="5" t="str">
        <f>"223220191125130644212031"</f>
        <v>223220191125130644212031</v>
      </c>
      <c r="C468" s="5" t="s">
        <v>33</v>
      </c>
      <c r="D468" s="5" t="s">
        <v>34</v>
      </c>
      <c r="E468" s="5" t="str">
        <f>"王德祥"</f>
        <v>王德祥</v>
      </c>
      <c r="F468" s="5" t="str">
        <f t="shared" ref="F468:F474" si="127">"男"</f>
        <v>男</v>
      </c>
      <c r="G468" s="5" t="str">
        <f>"1990-10-08"</f>
        <v>1990-10-08</v>
      </c>
      <c r="H468" s="5" t="str">
        <f>"海南热带海洋学院"</f>
        <v>海南热带海洋学院</v>
      </c>
    </row>
    <row r="469" s="2" customFormat="1" ht="20" customHeight="1" spans="1:8">
      <c r="A469" s="5">
        <v>467</v>
      </c>
      <c r="B469" s="5" t="str">
        <f>"223220191125132718212045"</f>
        <v>223220191125132718212045</v>
      </c>
      <c r="C469" s="5" t="s">
        <v>33</v>
      </c>
      <c r="D469" s="5" t="s">
        <v>34</v>
      </c>
      <c r="E469" s="5" t="str">
        <f>"唐志郁"</f>
        <v>唐志郁</v>
      </c>
      <c r="F469" s="5" t="str">
        <f>"女"</f>
        <v>女</v>
      </c>
      <c r="G469" s="5" t="str">
        <f>"1991-09-28"</f>
        <v>1991-09-28</v>
      </c>
      <c r="H469" s="5" t="str">
        <f>"山东财经大学"</f>
        <v>山东财经大学</v>
      </c>
    </row>
    <row r="470" s="2" customFormat="1" ht="20" customHeight="1" spans="1:8">
      <c r="A470" s="5">
        <v>468</v>
      </c>
      <c r="B470" s="5" t="str">
        <f>"223220191125150433212154"</f>
        <v>223220191125150433212154</v>
      </c>
      <c r="C470" s="5" t="s">
        <v>33</v>
      </c>
      <c r="D470" s="5" t="s">
        <v>34</v>
      </c>
      <c r="E470" s="5" t="str">
        <f>"王朝坤"</f>
        <v>王朝坤</v>
      </c>
      <c r="F470" s="5" t="str">
        <f>"女"</f>
        <v>女</v>
      </c>
      <c r="G470" s="5" t="str">
        <f>"1997-08-11"</f>
        <v>1997-08-11</v>
      </c>
      <c r="H470" s="5" t="str">
        <f>"海南热带海洋学院"</f>
        <v>海南热带海洋学院</v>
      </c>
    </row>
    <row r="471" s="2" customFormat="1" ht="20" customHeight="1" spans="1:8">
      <c r="A471" s="5">
        <v>469</v>
      </c>
      <c r="B471" s="5" t="str">
        <f>"223220191125150456212155"</f>
        <v>223220191125150456212155</v>
      </c>
      <c r="C471" s="5" t="s">
        <v>33</v>
      </c>
      <c r="D471" s="5" t="s">
        <v>34</v>
      </c>
      <c r="E471" s="5" t="str">
        <f>"谢隆腾"</f>
        <v>谢隆腾</v>
      </c>
      <c r="F471" s="5" t="str">
        <f t="shared" ref="F471:F474" si="128">"男"</f>
        <v>男</v>
      </c>
      <c r="G471" s="5" t="str">
        <f>"1997-03-17"</f>
        <v>1997-03-17</v>
      </c>
      <c r="H471" s="5" t="str">
        <f>"齐齐哈尔大学"</f>
        <v>齐齐哈尔大学</v>
      </c>
    </row>
    <row r="472" s="2" customFormat="1" ht="20" customHeight="1" spans="1:8">
      <c r="A472" s="5">
        <v>470</v>
      </c>
      <c r="B472" s="5" t="str">
        <f>"223220191125152315212204"</f>
        <v>223220191125152315212204</v>
      </c>
      <c r="C472" s="5" t="s">
        <v>33</v>
      </c>
      <c r="D472" s="5" t="s">
        <v>34</v>
      </c>
      <c r="E472" s="5" t="str">
        <f>"麦光位"</f>
        <v>麦光位</v>
      </c>
      <c r="F472" s="5" t="str">
        <f t="shared" si="128"/>
        <v>男</v>
      </c>
      <c r="G472" s="5" t="str">
        <f>"1989-03-19"</f>
        <v>1989-03-19</v>
      </c>
      <c r="H472" s="5" t="str">
        <f>"三亚学院"</f>
        <v>三亚学院</v>
      </c>
    </row>
    <row r="473" s="2" customFormat="1" ht="20" customHeight="1" spans="1:8">
      <c r="A473" s="5">
        <v>471</v>
      </c>
      <c r="B473" s="5" t="str">
        <f>"223220191125155354212263"</f>
        <v>223220191125155354212263</v>
      </c>
      <c r="C473" s="5" t="s">
        <v>33</v>
      </c>
      <c r="D473" s="5" t="s">
        <v>34</v>
      </c>
      <c r="E473" s="5" t="str">
        <f>"朱树帜"</f>
        <v>朱树帜</v>
      </c>
      <c r="F473" s="5" t="str">
        <f t="shared" si="128"/>
        <v>男</v>
      </c>
      <c r="G473" s="5" t="str">
        <f>"1988-11-05"</f>
        <v>1988-11-05</v>
      </c>
      <c r="H473" s="5" t="str">
        <f>"海南大学"</f>
        <v>海南大学</v>
      </c>
    </row>
    <row r="474" s="2" customFormat="1" ht="20" customHeight="1" spans="1:8">
      <c r="A474" s="5">
        <v>472</v>
      </c>
      <c r="B474" s="5" t="str">
        <f>"223220191125155856212274"</f>
        <v>223220191125155856212274</v>
      </c>
      <c r="C474" s="5" t="s">
        <v>33</v>
      </c>
      <c r="D474" s="5" t="s">
        <v>34</v>
      </c>
      <c r="E474" s="5" t="str">
        <f>"林斌"</f>
        <v>林斌</v>
      </c>
      <c r="F474" s="5" t="str">
        <f t="shared" si="128"/>
        <v>男</v>
      </c>
      <c r="G474" s="5" t="str">
        <f>"1992-09-25"</f>
        <v>1992-09-25</v>
      </c>
      <c r="H474" s="5" t="str">
        <f>"大连科技学院"</f>
        <v>大连科技学院</v>
      </c>
    </row>
    <row r="475" s="2" customFormat="1" ht="20" customHeight="1" spans="1:8">
      <c r="A475" s="5">
        <v>473</v>
      </c>
      <c r="B475" s="5" t="str">
        <f>"223220191125162436212307"</f>
        <v>223220191125162436212307</v>
      </c>
      <c r="C475" s="5" t="s">
        <v>33</v>
      </c>
      <c r="D475" s="5" t="s">
        <v>34</v>
      </c>
      <c r="E475" s="5" t="str">
        <f>"符慧彬"</f>
        <v>符慧彬</v>
      </c>
      <c r="F475" s="5" t="str">
        <f>"女"</f>
        <v>女</v>
      </c>
      <c r="G475" s="5" t="str">
        <f>"1996-11-12"</f>
        <v>1996-11-12</v>
      </c>
      <c r="H475" s="5" t="str">
        <f>"三亚学院"</f>
        <v>三亚学院</v>
      </c>
    </row>
    <row r="476" s="2" customFormat="1" ht="20" customHeight="1" spans="1:8">
      <c r="A476" s="5">
        <v>474</v>
      </c>
      <c r="B476" s="5" t="str">
        <f>"223220191125165413212340"</f>
        <v>223220191125165413212340</v>
      </c>
      <c r="C476" s="5" t="s">
        <v>33</v>
      </c>
      <c r="D476" s="5" t="s">
        <v>34</v>
      </c>
      <c r="E476" s="5" t="str">
        <f>"李笔龙"</f>
        <v>李笔龙</v>
      </c>
      <c r="F476" s="5" t="str">
        <f t="shared" ref="F476:F479" si="129">"男"</f>
        <v>男</v>
      </c>
      <c r="G476" s="5" t="str">
        <f>"1991-09-22"</f>
        <v>1991-09-22</v>
      </c>
      <c r="H476" s="5" t="str">
        <f>"广东工业大学"</f>
        <v>广东工业大学</v>
      </c>
    </row>
    <row r="477" s="2" customFormat="1" ht="20" customHeight="1" spans="1:8">
      <c r="A477" s="5">
        <v>475</v>
      </c>
      <c r="B477" s="5" t="str">
        <f>"223220191125170953212362"</f>
        <v>223220191125170953212362</v>
      </c>
      <c r="C477" s="5" t="s">
        <v>33</v>
      </c>
      <c r="D477" s="5" t="s">
        <v>34</v>
      </c>
      <c r="E477" s="5" t="str">
        <f>"李夏精"</f>
        <v>李夏精</v>
      </c>
      <c r="F477" s="5" t="str">
        <f t="shared" si="129"/>
        <v>男</v>
      </c>
      <c r="G477" s="5" t="str">
        <f>"1989-03-09"</f>
        <v>1989-03-09</v>
      </c>
      <c r="H477" s="5" t="str">
        <f>"东华理工大学长江学院"</f>
        <v>东华理工大学长江学院</v>
      </c>
    </row>
    <row r="478" s="2" customFormat="1" ht="20" customHeight="1" spans="1:8">
      <c r="A478" s="5">
        <v>476</v>
      </c>
      <c r="B478" s="5" t="str">
        <f>"223220191125174223212407"</f>
        <v>223220191125174223212407</v>
      </c>
      <c r="C478" s="5" t="s">
        <v>33</v>
      </c>
      <c r="D478" s="5" t="s">
        <v>34</v>
      </c>
      <c r="E478" s="5" t="str">
        <f>"高冠清"</f>
        <v>高冠清</v>
      </c>
      <c r="F478" s="5" t="str">
        <f t="shared" si="129"/>
        <v>男</v>
      </c>
      <c r="G478" s="5" t="str">
        <f>"1990-11-17"</f>
        <v>1990-11-17</v>
      </c>
      <c r="H478" s="5" t="str">
        <f>"广西科技大学鹿山学院"</f>
        <v>广西科技大学鹿山学院</v>
      </c>
    </row>
    <row r="479" s="2" customFormat="1" ht="20" customHeight="1" spans="1:8">
      <c r="A479" s="5">
        <v>477</v>
      </c>
      <c r="B479" s="5" t="str">
        <f>"223220191125175957212432"</f>
        <v>223220191125175957212432</v>
      </c>
      <c r="C479" s="5" t="s">
        <v>33</v>
      </c>
      <c r="D479" s="5" t="s">
        <v>34</v>
      </c>
      <c r="E479" s="5" t="str">
        <f>"许堂兴"</f>
        <v>许堂兴</v>
      </c>
      <c r="F479" s="5" t="str">
        <f t="shared" si="129"/>
        <v>男</v>
      </c>
      <c r="G479" s="5" t="str">
        <f>"1996-10-05"</f>
        <v>1996-10-05</v>
      </c>
      <c r="H479" s="5" t="str">
        <f>"中南林业科技大学"</f>
        <v>中南林业科技大学</v>
      </c>
    </row>
    <row r="480" s="2" customFormat="1" ht="20" customHeight="1" spans="1:8">
      <c r="A480" s="5">
        <v>478</v>
      </c>
      <c r="B480" s="5" t="str">
        <f>"223220191125180419212442"</f>
        <v>223220191125180419212442</v>
      </c>
      <c r="C480" s="5" t="s">
        <v>33</v>
      </c>
      <c r="D480" s="5" t="s">
        <v>34</v>
      </c>
      <c r="E480" s="5" t="str">
        <f>"陈美玲"</f>
        <v>陈美玲</v>
      </c>
      <c r="F480" s="5" t="str">
        <f t="shared" ref="F480:F484" si="130">"女"</f>
        <v>女</v>
      </c>
      <c r="G480" s="5" t="str">
        <f>"1990-06-16"</f>
        <v>1990-06-16</v>
      </c>
      <c r="H480" s="5" t="str">
        <f>"内蒙古科技大学"</f>
        <v>内蒙古科技大学</v>
      </c>
    </row>
    <row r="481" s="2" customFormat="1" ht="20" customHeight="1" spans="1:8">
      <c r="A481" s="5">
        <v>479</v>
      </c>
      <c r="B481" s="5" t="str">
        <f>"223220191125200648212569"</f>
        <v>223220191125200648212569</v>
      </c>
      <c r="C481" s="5" t="s">
        <v>33</v>
      </c>
      <c r="D481" s="5" t="s">
        <v>34</v>
      </c>
      <c r="E481" s="5" t="str">
        <f>"符贤良"</f>
        <v>符贤良</v>
      </c>
      <c r="F481" s="5" t="str">
        <f t="shared" ref="F481:F489" si="131">"男"</f>
        <v>男</v>
      </c>
      <c r="G481" s="5" t="str">
        <f>"1994-12-05"</f>
        <v>1994-12-05</v>
      </c>
      <c r="H481" s="5" t="str">
        <f>"淮海工学院"</f>
        <v>淮海工学院</v>
      </c>
    </row>
    <row r="482" s="2" customFormat="1" ht="20" customHeight="1" spans="1:8">
      <c r="A482" s="5">
        <v>480</v>
      </c>
      <c r="B482" s="5" t="str">
        <f>"223220191125211853212680"</f>
        <v>223220191125211853212680</v>
      </c>
      <c r="C482" s="5" t="s">
        <v>33</v>
      </c>
      <c r="D482" s="5" t="s">
        <v>34</v>
      </c>
      <c r="E482" s="5" t="str">
        <f>"符公日"</f>
        <v>符公日</v>
      </c>
      <c r="F482" s="5" t="str">
        <f>"女"</f>
        <v>女</v>
      </c>
      <c r="G482" s="5" t="str">
        <f>"1988-04-23"</f>
        <v>1988-04-23</v>
      </c>
      <c r="H482" s="5" t="str">
        <f>"海南师范大学"</f>
        <v>海南师范大学</v>
      </c>
    </row>
    <row r="483" s="2" customFormat="1" ht="20" customHeight="1" spans="1:8">
      <c r="A483" s="5">
        <v>481</v>
      </c>
      <c r="B483" s="5" t="str">
        <f>"223220191125222446212755"</f>
        <v>223220191125222446212755</v>
      </c>
      <c r="C483" s="5" t="s">
        <v>33</v>
      </c>
      <c r="D483" s="5" t="s">
        <v>34</v>
      </c>
      <c r="E483" s="5" t="str">
        <f>"符冠熙"</f>
        <v>符冠熙</v>
      </c>
      <c r="F483" s="5" t="str">
        <f t="shared" ref="F483:F489" si="132">"男"</f>
        <v>男</v>
      </c>
      <c r="G483" s="5" t="str">
        <f>"1989-02-06"</f>
        <v>1989-02-06</v>
      </c>
      <c r="H483" s="5" t="str">
        <f>"闽江学院"</f>
        <v>闽江学院</v>
      </c>
    </row>
    <row r="484" s="2" customFormat="1" ht="20" customHeight="1" spans="1:8">
      <c r="A484" s="5">
        <v>482</v>
      </c>
      <c r="B484" s="5" t="str">
        <f>"223220191125223522212765"</f>
        <v>223220191125223522212765</v>
      </c>
      <c r="C484" s="5" t="s">
        <v>33</v>
      </c>
      <c r="D484" s="5" t="s">
        <v>34</v>
      </c>
      <c r="E484" s="5" t="str">
        <f>"陈玲燕"</f>
        <v>陈玲燕</v>
      </c>
      <c r="F484" s="5" t="str">
        <f>"女"</f>
        <v>女</v>
      </c>
      <c r="G484" s="5" t="str">
        <f>"1990-01-13"</f>
        <v>1990-01-13</v>
      </c>
      <c r="H484" s="5" t="str">
        <f>"湖南科技学院"</f>
        <v>湖南科技学院</v>
      </c>
    </row>
    <row r="485" s="2" customFormat="1" ht="20" customHeight="1" spans="1:8">
      <c r="A485" s="5">
        <v>483</v>
      </c>
      <c r="B485" s="5" t="str">
        <f>"223220191126080435212851"</f>
        <v>223220191126080435212851</v>
      </c>
      <c r="C485" s="5" t="s">
        <v>33</v>
      </c>
      <c r="D485" s="5" t="s">
        <v>34</v>
      </c>
      <c r="E485" s="5" t="str">
        <f>"高瑜壮"</f>
        <v>高瑜壮</v>
      </c>
      <c r="F485" s="5" t="str">
        <f>"男"</f>
        <v>男</v>
      </c>
      <c r="G485" s="5" t="str">
        <f>"1993-10-26"</f>
        <v>1993-10-26</v>
      </c>
      <c r="H485" s="5" t="str">
        <f>"忻州师范学院"</f>
        <v>忻州师范学院</v>
      </c>
    </row>
    <row r="486" s="2" customFormat="1" ht="20" customHeight="1" spans="1:8">
      <c r="A486" s="5">
        <v>484</v>
      </c>
      <c r="B486" s="5" t="str">
        <f>"223220191126092241213083"</f>
        <v>223220191126092241213083</v>
      </c>
      <c r="C486" s="5" t="s">
        <v>33</v>
      </c>
      <c r="D486" s="5" t="s">
        <v>34</v>
      </c>
      <c r="E486" s="5" t="str">
        <f>"符应军"</f>
        <v>符应军</v>
      </c>
      <c r="F486" s="5" t="str">
        <f>"男"</f>
        <v>男</v>
      </c>
      <c r="G486" s="5" t="str">
        <f>"1997-10-05"</f>
        <v>1997-10-05</v>
      </c>
      <c r="H486" s="5" t="str">
        <f>"烟台大学文经学院"</f>
        <v>烟台大学文经学院</v>
      </c>
    </row>
    <row r="487" s="2" customFormat="1" ht="20" customHeight="1" spans="1:8">
      <c r="A487" s="5">
        <v>485</v>
      </c>
      <c r="B487" s="5" t="str">
        <f>"223220191126093024213123"</f>
        <v>223220191126093024213123</v>
      </c>
      <c r="C487" s="5" t="s">
        <v>33</v>
      </c>
      <c r="D487" s="5" t="s">
        <v>34</v>
      </c>
      <c r="E487" s="5" t="str">
        <f>"唐剑华"</f>
        <v>唐剑华</v>
      </c>
      <c r="F487" s="5" t="str">
        <f>"男"</f>
        <v>男</v>
      </c>
      <c r="G487" s="5" t="str">
        <f>"1990-03-05"</f>
        <v>1990-03-05</v>
      </c>
      <c r="H487" s="5" t="str">
        <f>"山西财经大学"</f>
        <v>山西财经大学</v>
      </c>
    </row>
    <row r="488" s="2" customFormat="1" ht="20" customHeight="1" spans="1:8">
      <c r="A488" s="5">
        <v>486</v>
      </c>
      <c r="B488" s="5" t="str">
        <f>"223220191126093358213139"</f>
        <v>223220191126093358213139</v>
      </c>
      <c r="C488" s="5" t="s">
        <v>33</v>
      </c>
      <c r="D488" s="5" t="s">
        <v>34</v>
      </c>
      <c r="E488" s="5" t="str">
        <f>"王光泽"</f>
        <v>王光泽</v>
      </c>
      <c r="F488" s="5" t="str">
        <f>"男"</f>
        <v>男</v>
      </c>
      <c r="G488" s="5" t="str">
        <f>"1993-09-08"</f>
        <v>1993-09-08</v>
      </c>
      <c r="H488" s="5" t="str">
        <f>"河南师范大学"</f>
        <v>河南师范大学</v>
      </c>
    </row>
    <row r="489" s="2" customFormat="1" ht="20" customHeight="1" spans="1:8">
      <c r="A489" s="5">
        <v>487</v>
      </c>
      <c r="B489" s="5" t="str">
        <f>"223220191126103522213391"</f>
        <v>223220191126103522213391</v>
      </c>
      <c r="C489" s="5" t="s">
        <v>33</v>
      </c>
      <c r="D489" s="5" t="s">
        <v>34</v>
      </c>
      <c r="E489" s="5" t="str">
        <f>"周礼润"</f>
        <v>周礼润</v>
      </c>
      <c r="F489" s="5" t="str">
        <f>"男"</f>
        <v>男</v>
      </c>
      <c r="G489" s="5" t="str">
        <f>"1994-04-01"</f>
        <v>1994-04-01</v>
      </c>
      <c r="H489" s="5" t="str">
        <f>"北京科技大学天津学院"</f>
        <v>北京科技大学天津学院</v>
      </c>
    </row>
    <row r="490" s="2" customFormat="1" ht="20" customHeight="1" spans="1:8">
      <c r="A490" s="5">
        <v>488</v>
      </c>
      <c r="B490" s="5" t="str">
        <f>"223220191126103808213404"</f>
        <v>223220191126103808213404</v>
      </c>
      <c r="C490" s="5" t="s">
        <v>33</v>
      </c>
      <c r="D490" s="5" t="s">
        <v>34</v>
      </c>
      <c r="E490" s="5" t="str">
        <f>"王英妹"</f>
        <v>王英妹</v>
      </c>
      <c r="F490" s="5" t="str">
        <f>"女"</f>
        <v>女</v>
      </c>
      <c r="G490" s="5" t="str">
        <f>"1988-06-14"</f>
        <v>1988-06-14</v>
      </c>
      <c r="H490" s="5" t="str">
        <f>"海南师范大学"</f>
        <v>海南师范大学</v>
      </c>
    </row>
    <row r="491" s="2" customFormat="1" ht="20" customHeight="1" spans="1:8">
      <c r="A491" s="5">
        <v>489</v>
      </c>
      <c r="B491" s="5" t="str">
        <f>"223220191126113516213589"</f>
        <v>223220191126113516213589</v>
      </c>
      <c r="C491" s="5" t="s">
        <v>33</v>
      </c>
      <c r="D491" s="5" t="s">
        <v>34</v>
      </c>
      <c r="E491" s="5" t="str">
        <f>"万树梁"</f>
        <v>万树梁</v>
      </c>
      <c r="F491" s="5" t="str">
        <f t="shared" ref="F491:F496" si="133">"男"</f>
        <v>男</v>
      </c>
      <c r="G491" s="5" t="str">
        <f>"1990-03-28"</f>
        <v>1990-03-28</v>
      </c>
      <c r="H491" s="5" t="str">
        <f>"长江大学"</f>
        <v>长江大学</v>
      </c>
    </row>
    <row r="492" s="2" customFormat="1" ht="20" customHeight="1" spans="1:8">
      <c r="A492" s="5">
        <v>490</v>
      </c>
      <c r="B492" s="5" t="str">
        <f>"223220191126113531213590"</f>
        <v>223220191126113531213590</v>
      </c>
      <c r="C492" s="5" t="s">
        <v>33</v>
      </c>
      <c r="D492" s="5" t="s">
        <v>34</v>
      </c>
      <c r="E492" s="5" t="str">
        <f>"陈丰"</f>
        <v>陈丰</v>
      </c>
      <c r="F492" s="5" t="str">
        <f t="shared" si="133"/>
        <v>男</v>
      </c>
      <c r="G492" s="5" t="str">
        <f>"1994-07-10"</f>
        <v>1994-07-10</v>
      </c>
      <c r="H492" s="5" t="str">
        <f>"成都东软学院"</f>
        <v>成都东软学院</v>
      </c>
    </row>
    <row r="493" s="2" customFormat="1" ht="20" customHeight="1" spans="1:8">
      <c r="A493" s="5">
        <v>491</v>
      </c>
      <c r="B493" s="5" t="str">
        <f>"223220191126130250213797"</f>
        <v>223220191126130250213797</v>
      </c>
      <c r="C493" s="5" t="s">
        <v>33</v>
      </c>
      <c r="D493" s="5" t="s">
        <v>34</v>
      </c>
      <c r="E493" s="5" t="str">
        <f>"周奠海"</f>
        <v>周奠海</v>
      </c>
      <c r="F493" s="5" t="str">
        <f t="shared" si="133"/>
        <v>男</v>
      </c>
      <c r="G493" s="5" t="str">
        <f>"1986-11-19"</f>
        <v>1986-11-19</v>
      </c>
      <c r="H493" s="5" t="str">
        <f>"西北大学"</f>
        <v>西北大学</v>
      </c>
    </row>
    <row r="494" s="2" customFormat="1" ht="20" customHeight="1" spans="1:8">
      <c r="A494" s="5">
        <v>492</v>
      </c>
      <c r="B494" s="5" t="str">
        <f>"223220191126133648213848"</f>
        <v>223220191126133648213848</v>
      </c>
      <c r="C494" s="5" t="s">
        <v>33</v>
      </c>
      <c r="D494" s="5" t="s">
        <v>34</v>
      </c>
      <c r="E494" s="5" t="str">
        <f>"唐着策"</f>
        <v>唐着策</v>
      </c>
      <c r="F494" s="5" t="str">
        <f t="shared" si="133"/>
        <v>男</v>
      </c>
      <c r="G494" s="5" t="str">
        <f>"1993-02-03"</f>
        <v>1993-02-03</v>
      </c>
      <c r="H494" s="5" t="str">
        <f>"桂林电子科技大学信息科技学院"</f>
        <v>桂林电子科技大学信息科技学院</v>
      </c>
    </row>
    <row r="495" s="2" customFormat="1" ht="20" customHeight="1" spans="1:8">
      <c r="A495" s="5">
        <v>493</v>
      </c>
      <c r="B495" s="5" t="str">
        <f>"223220191126135103213869"</f>
        <v>223220191126135103213869</v>
      </c>
      <c r="C495" s="5" t="s">
        <v>33</v>
      </c>
      <c r="D495" s="5" t="s">
        <v>34</v>
      </c>
      <c r="E495" s="5" t="str">
        <f>"李义"</f>
        <v>李义</v>
      </c>
      <c r="F495" s="5" t="str">
        <f t="shared" si="133"/>
        <v>男</v>
      </c>
      <c r="G495" s="5" t="str">
        <f>"1993-10-15"</f>
        <v>1993-10-15</v>
      </c>
      <c r="H495" s="5" t="str">
        <f>"华东交通大学"</f>
        <v>华东交通大学</v>
      </c>
    </row>
    <row r="496" s="2" customFormat="1" ht="20" customHeight="1" spans="1:8">
      <c r="A496" s="5">
        <v>494</v>
      </c>
      <c r="B496" s="5" t="str">
        <f>"223220191126145131213989"</f>
        <v>223220191126145131213989</v>
      </c>
      <c r="C496" s="5" t="s">
        <v>33</v>
      </c>
      <c r="D496" s="5" t="s">
        <v>34</v>
      </c>
      <c r="E496" s="5" t="str">
        <f>"符有金"</f>
        <v>符有金</v>
      </c>
      <c r="F496" s="5" t="str">
        <f t="shared" si="133"/>
        <v>男</v>
      </c>
      <c r="G496" s="5" t="str">
        <f>"1994-09-23"</f>
        <v>1994-09-23</v>
      </c>
      <c r="H496" s="5" t="str">
        <f>"河北工程大学"</f>
        <v>河北工程大学</v>
      </c>
    </row>
    <row r="497" s="2" customFormat="1" ht="20" customHeight="1" spans="1:8">
      <c r="A497" s="5">
        <v>495</v>
      </c>
      <c r="B497" s="5" t="str">
        <f>"223220191126145940214009"</f>
        <v>223220191126145940214009</v>
      </c>
      <c r="C497" s="5" t="s">
        <v>33</v>
      </c>
      <c r="D497" s="5" t="s">
        <v>34</v>
      </c>
      <c r="E497" s="5" t="str">
        <f>"曾红"</f>
        <v>曾红</v>
      </c>
      <c r="F497" s="5" t="str">
        <f>"女"</f>
        <v>女</v>
      </c>
      <c r="G497" s="5" t="str">
        <f>"1993-12-15"</f>
        <v>1993-12-15</v>
      </c>
      <c r="H497" s="5" t="str">
        <f>"湖北大学"</f>
        <v>湖北大学</v>
      </c>
    </row>
    <row r="498" s="2" customFormat="1" ht="20" customHeight="1" spans="1:8">
      <c r="A498" s="5">
        <v>496</v>
      </c>
      <c r="B498" s="5" t="str">
        <f>"223220191126150909214025"</f>
        <v>223220191126150909214025</v>
      </c>
      <c r="C498" s="5" t="s">
        <v>33</v>
      </c>
      <c r="D498" s="5" t="s">
        <v>34</v>
      </c>
      <c r="E498" s="5" t="str">
        <f>"周应政"</f>
        <v>周应政</v>
      </c>
      <c r="F498" s="5" t="str">
        <f t="shared" ref="F498:F500" si="134">"男"</f>
        <v>男</v>
      </c>
      <c r="G498" s="5" t="str">
        <f>"1992-12-18"</f>
        <v>1992-12-18</v>
      </c>
      <c r="H498" s="5" t="str">
        <f>"长沙理工大学"</f>
        <v>长沙理工大学</v>
      </c>
    </row>
    <row r="499" s="2" customFormat="1" ht="20" customHeight="1" spans="1:8">
      <c r="A499" s="5">
        <v>497</v>
      </c>
      <c r="B499" s="5" t="str">
        <f>"223220191126165803214297"</f>
        <v>223220191126165803214297</v>
      </c>
      <c r="C499" s="5" t="s">
        <v>33</v>
      </c>
      <c r="D499" s="5" t="s">
        <v>34</v>
      </c>
      <c r="E499" s="5" t="str">
        <f>"符真广"</f>
        <v>符真广</v>
      </c>
      <c r="F499" s="5" t="str">
        <f t="shared" si="134"/>
        <v>男</v>
      </c>
      <c r="G499" s="5" t="str">
        <f>"1989-06-16"</f>
        <v>1989-06-16</v>
      </c>
      <c r="H499" s="5" t="str">
        <f>"仰恩大学"</f>
        <v>仰恩大学</v>
      </c>
    </row>
    <row r="500" s="2" customFormat="1" ht="20" customHeight="1" spans="1:8">
      <c r="A500" s="5">
        <v>498</v>
      </c>
      <c r="B500" s="5" t="str">
        <f>"223220191126170022214301"</f>
        <v>223220191126170022214301</v>
      </c>
      <c r="C500" s="5" t="s">
        <v>33</v>
      </c>
      <c r="D500" s="5" t="s">
        <v>34</v>
      </c>
      <c r="E500" s="5" t="str">
        <f>"李琼慧"</f>
        <v>李琼慧</v>
      </c>
      <c r="F500" s="5" t="str">
        <f t="shared" si="134"/>
        <v>男</v>
      </c>
      <c r="G500" s="5" t="str">
        <f>"1995-12-01"</f>
        <v>1995-12-01</v>
      </c>
      <c r="H500" s="5" t="str">
        <f>"海南大学"</f>
        <v>海南大学</v>
      </c>
    </row>
    <row r="501" s="2" customFormat="1" ht="20" customHeight="1" spans="1:8">
      <c r="A501" s="5">
        <v>499</v>
      </c>
      <c r="B501" s="5" t="str">
        <f>"223220191126170417214311"</f>
        <v>223220191126170417214311</v>
      </c>
      <c r="C501" s="5" t="s">
        <v>33</v>
      </c>
      <c r="D501" s="5" t="s">
        <v>34</v>
      </c>
      <c r="E501" s="5" t="str">
        <f>"温冬雁"</f>
        <v>温冬雁</v>
      </c>
      <c r="F501" s="5" t="str">
        <f t="shared" ref="F501:F506" si="135">"女"</f>
        <v>女</v>
      </c>
      <c r="G501" s="5" t="str">
        <f>"1995-10-01"</f>
        <v>1995-10-01</v>
      </c>
      <c r="H501" s="5" t="str">
        <f>"沈阳师范大学"</f>
        <v>沈阳师范大学</v>
      </c>
    </row>
    <row r="502" s="2" customFormat="1" ht="20" customHeight="1" spans="1:8">
      <c r="A502" s="5">
        <v>500</v>
      </c>
      <c r="B502" s="5" t="str">
        <f>"223220191126171500214324"</f>
        <v>223220191126171500214324</v>
      </c>
      <c r="C502" s="5" t="s">
        <v>33</v>
      </c>
      <c r="D502" s="5" t="s">
        <v>34</v>
      </c>
      <c r="E502" s="5" t="str">
        <f>"罗海凤"</f>
        <v>罗海凤</v>
      </c>
      <c r="F502" s="5" t="str">
        <f t="shared" si="135"/>
        <v>女</v>
      </c>
      <c r="G502" s="5" t="str">
        <f>"1991-12-30"</f>
        <v>1991-12-30</v>
      </c>
      <c r="H502" s="5" t="str">
        <f>"海口经济学院"</f>
        <v>海口经济学院</v>
      </c>
    </row>
    <row r="503" s="2" customFormat="1" ht="20" customHeight="1" spans="1:8">
      <c r="A503" s="5">
        <v>501</v>
      </c>
      <c r="B503" s="5" t="str">
        <f>"223220191126172328214344"</f>
        <v>223220191126172328214344</v>
      </c>
      <c r="C503" s="5" t="s">
        <v>33</v>
      </c>
      <c r="D503" s="5" t="s">
        <v>34</v>
      </c>
      <c r="E503" s="5" t="str">
        <f>"陈德静"</f>
        <v>陈德静</v>
      </c>
      <c r="F503" s="5" t="str">
        <f t="shared" si="135"/>
        <v>女</v>
      </c>
      <c r="G503" s="5" t="str">
        <f>"1992-12-22"</f>
        <v>1992-12-22</v>
      </c>
      <c r="H503" s="5" t="str">
        <f>"邵阳学院"</f>
        <v>邵阳学院</v>
      </c>
    </row>
    <row r="504" s="2" customFormat="1" ht="20" customHeight="1" spans="1:8">
      <c r="A504" s="5">
        <v>502</v>
      </c>
      <c r="B504" s="5" t="str">
        <f>"223220191126174809214390"</f>
        <v>223220191126174809214390</v>
      </c>
      <c r="C504" s="5" t="s">
        <v>33</v>
      </c>
      <c r="D504" s="5" t="s">
        <v>34</v>
      </c>
      <c r="E504" s="5" t="str">
        <f>"冯雪"</f>
        <v>冯雪</v>
      </c>
      <c r="F504" s="5" t="str">
        <f t="shared" si="135"/>
        <v>女</v>
      </c>
      <c r="G504" s="5" t="str">
        <f>"1996-02-05"</f>
        <v>1996-02-05</v>
      </c>
      <c r="H504" s="5" t="str">
        <f>"海南师范大学"</f>
        <v>海南师范大学</v>
      </c>
    </row>
    <row r="505" s="2" customFormat="1" ht="20" customHeight="1" spans="1:8">
      <c r="A505" s="5">
        <v>503</v>
      </c>
      <c r="B505" s="5" t="str">
        <f>"223220191126185427214498"</f>
        <v>223220191126185427214498</v>
      </c>
      <c r="C505" s="5" t="s">
        <v>33</v>
      </c>
      <c r="D505" s="5" t="s">
        <v>34</v>
      </c>
      <c r="E505" s="5" t="str">
        <f>"胡珍旎"</f>
        <v>胡珍旎</v>
      </c>
      <c r="F505" s="5" t="str">
        <f t="shared" si="135"/>
        <v>女</v>
      </c>
      <c r="G505" s="5" t="str">
        <f>"1994-01-27"</f>
        <v>1994-01-27</v>
      </c>
      <c r="H505" s="5" t="str">
        <f>"湖北警官学院"</f>
        <v>湖北警官学院</v>
      </c>
    </row>
    <row r="506" s="2" customFormat="1" ht="20" customHeight="1" spans="1:8">
      <c r="A506" s="5">
        <v>504</v>
      </c>
      <c r="B506" s="5" t="str">
        <f>"223220191126185457214499"</f>
        <v>223220191126185457214499</v>
      </c>
      <c r="C506" s="5" t="s">
        <v>33</v>
      </c>
      <c r="D506" s="5" t="s">
        <v>34</v>
      </c>
      <c r="E506" s="5" t="str">
        <f>"李筱爱"</f>
        <v>李筱爱</v>
      </c>
      <c r="F506" s="5" t="str">
        <f t="shared" si="135"/>
        <v>女</v>
      </c>
      <c r="G506" s="5" t="str">
        <f>"1995-06-23"</f>
        <v>1995-06-23</v>
      </c>
      <c r="H506" s="5" t="str">
        <f>"华南农业大学"</f>
        <v>华南农业大学</v>
      </c>
    </row>
    <row r="507" s="2" customFormat="1" ht="20" customHeight="1" spans="1:8">
      <c r="A507" s="5">
        <v>505</v>
      </c>
      <c r="B507" s="5" t="str">
        <f>"223220191126190911214520"</f>
        <v>223220191126190911214520</v>
      </c>
      <c r="C507" s="5" t="s">
        <v>33</v>
      </c>
      <c r="D507" s="5" t="s">
        <v>34</v>
      </c>
      <c r="E507" s="5" t="str">
        <f>"许东林"</f>
        <v>许东林</v>
      </c>
      <c r="F507" s="5" t="str">
        <f t="shared" ref="F507:F512" si="136">"男"</f>
        <v>男</v>
      </c>
      <c r="G507" s="5" t="str">
        <f>"1997-11-10"</f>
        <v>1997-11-10</v>
      </c>
      <c r="H507" s="5" t="str">
        <f>"南昌大学"</f>
        <v>南昌大学</v>
      </c>
    </row>
    <row r="508" s="2" customFormat="1" ht="20" customHeight="1" spans="1:8">
      <c r="A508" s="5">
        <v>506</v>
      </c>
      <c r="B508" s="5" t="str">
        <f>"223220191126192847214549"</f>
        <v>223220191126192847214549</v>
      </c>
      <c r="C508" s="5" t="s">
        <v>33</v>
      </c>
      <c r="D508" s="5" t="s">
        <v>34</v>
      </c>
      <c r="E508" s="5" t="str">
        <f>"李金菊"</f>
        <v>李金菊</v>
      </c>
      <c r="F508" s="5" t="str">
        <f t="shared" ref="F508:F515" si="137">"女"</f>
        <v>女</v>
      </c>
      <c r="G508" s="5" t="str">
        <f>"1995-05-24"</f>
        <v>1995-05-24</v>
      </c>
      <c r="H508" s="5" t="str">
        <f>"忻州师范学院"</f>
        <v>忻州师范学院</v>
      </c>
    </row>
    <row r="509" s="2" customFormat="1" ht="20" customHeight="1" spans="1:8">
      <c r="A509" s="5">
        <v>507</v>
      </c>
      <c r="B509" s="5" t="str">
        <f>"223220191126203629214672"</f>
        <v>223220191126203629214672</v>
      </c>
      <c r="C509" s="5" t="s">
        <v>33</v>
      </c>
      <c r="D509" s="5" t="s">
        <v>34</v>
      </c>
      <c r="E509" s="5" t="str">
        <f>"万武彬"</f>
        <v>万武彬</v>
      </c>
      <c r="F509" s="5" t="str">
        <f t="shared" ref="F509:F512" si="138">"男"</f>
        <v>男</v>
      </c>
      <c r="G509" s="5" t="str">
        <f>"1993-12-10"</f>
        <v>1993-12-10</v>
      </c>
      <c r="H509" s="5" t="str">
        <f>"安阳工学院"</f>
        <v>安阳工学院</v>
      </c>
    </row>
    <row r="510" s="2" customFormat="1" ht="20" customHeight="1" spans="1:8">
      <c r="A510" s="5">
        <v>508</v>
      </c>
      <c r="B510" s="5" t="str">
        <f>"223220191126204534214691"</f>
        <v>223220191126204534214691</v>
      </c>
      <c r="C510" s="5" t="s">
        <v>33</v>
      </c>
      <c r="D510" s="5" t="s">
        <v>34</v>
      </c>
      <c r="E510" s="5" t="str">
        <f>"杨春红"</f>
        <v>杨春红</v>
      </c>
      <c r="F510" s="5" t="str">
        <f t="shared" ref="F510:F515" si="139">"女"</f>
        <v>女</v>
      </c>
      <c r="G510" s="5" t="str">
        <f>"1994-09-29"</f>
        <v>1994-09-29</v>
      </c>
      <c r="H510" s="5" t="str">
        <f>"兰州城市学院"</f>
        <v>兰州城市学院</v>
      </c>
    </row>
    <row r="511" s="2" customFormat="1" ht="20" customHeight="1" spans="1:8">
      <c r="A511" s="5">
        <v>509</v>
      </c>
      <c r="B511" s="5" t="str">
        <f>"223220191126212131214760"</f>
        <v>223220191126212131214760</v>
      </c>
      <c r="C511" s="5" t="s">
        <v>33</v>
      </c>
      <c r="D511" s="5" t="s">
        <v>34</v>
      </c>
      <c r="E511" s="5" t="str">
        <f>"符精政"</f>
        <v>符精政</v>
      </c>
      <c r="F511" s="5" t="str">
        <f>"男"</f>
        <v>男</v>
      </c>
      <c r="G511" s="5" t="str">
        <f>"1995-08-07"</f>
        <v>1995-08-07</v>
      </c>
      <c r="H511" s="5" t="str">
        <f>"忻州师范学院"</f>
        <v>忻州师范学院</v>
      </c>
    </row>
    <row r="512" s="2" customFormat="1" ht="20" customHeight="1" spans="1:8">
      <c r="A512" s="5">
        <v>510</v>
      </c>
      <c r="B512" s="5" t="str">
        <f>"223220191126213323214781"</f>
        <v>223220191126213323214781</v>
      </c>
      <c r="C512" s="5" t="s">
        <v>33</v>
      </c>
      <c r="D512" s="5" t="s">
        <v>34</v>
      </c>
      <c r="E512" s="5" t="str">
        <f>"陈炳三"</f>
        <v>陈炳三</v>
      </c>
      <c r="F512" s="5" t="str">
        <f>"男"</f>
        <v>男</v>
      </c>
      <c r="G512" s="5" t="str">
        <f>"1993-01-12"</f>
        <v>1993-01-12</v>
      </c>
      <c r="H512" s="5" t="str">
        <f>"内蒙古科技大学"</f>
        <v>内蒙古科技大学</v>
      </c>
    </row>
    <row r="513" s="2" customFormat="1" ht="20" customHeight="1" spans="1:8">
      <c r="A513" s="5">
        <v>511</v>
      </c>
      <c r="B513" s="5" t="str">
        <f>"223220191126214505214806"</f>
        <v>223220191126214505214806</v>
      </c>
      <c r="C513" s="5" t="s">
        <v>33</v>
      </c>
      <c r="D513" s="5" t="s">
        <v>34</v>
      </c>
      <c r="E513" s="5" t="str">
        <f>"符帅梨"</f>
        <v>符帅梨</v>
      </c>
      <c r="F513" s="5" t="str">
        <f>"女"</f>
        <v>女</v>
      </c>
      <c r="G513" s="5" t="str">
        <f>"1996-07-29"</f>
        <v>1996-07-29</v>
      </c>
      <c r="H513" s="5" t="str">
        <f>"海南师范大学"</f>
        <v>海南师范大学</v>
      </c>
    </row>
    <row r="514" s="2" customFormat="1" ht="20" customHeight="1" spans="1:8">
      <c r="A514" s="5">
        <v>512</v>
      </c>
      <c r="B514" s="5" t="str">
        <f>"223220191126221425214848"</f>
        <v>223220191126221425214848</v>
      </c>
      <c r="C514" s="5" t="s">
        <v>33</v>
      </c>
      <c r="D514" s="5" t="s">
        <v>34</v>
      </c>
      <c r="E514" s="5" t="str">
        <f>"郭江莲"</f>
        <v>郭江莲</v>
      </c>
      <c r="F514" s="5" t="str">
        <f>"女"</f>
        <v>女</v>
      </c>
      <c r="G514" s="5" t="str">
        <f>"1996-09-08"</f>
        <v>1996-09-08</v>
      </c>
      <c r="H514" s="5" t="str">
        <f>"商丘学院"</f>
        <v>商丘学院</v>
      </c>
    </row>
    <row r="515" s="2" customFormat="1" ht="20" customHeight="1" spans="1:8">
      <c r="A515" s="5">
        <v>513</v>
      </c>
      <c r="B515" s="5" t="str">
        <f>"223220191126221747214859"</f>
        <v>223220191126221747214859</v>
      </c>
      <c r="C515" s="5" t="s">
        <v>33</v>
      </c>
      <c r="D515" s="5" t="s">
        <v>34</v>
      </c>
      <c r="E515" s="5" t="str">
        <f>"吴庆云"</f>
        <v>吴庆云</v>
      </c>
      <c r="F515" s="5" t="str">
        <f>"女"</f>
        <v>女</v>
      </c>
      <c r="G515" s="5" t="str">
        <f>"1996-01-23"</f>
        <v>1996-01-23</v>
      </c>
      <c r="H515" s="5" t="str">
        <f>"齐齐哈尔医学院"</f>
        <v>齐齐哈尔医学院</v>
      </c>
    </row>
    <row r="516" s="2" customFormat="1" ht="20" customHeight="1" spans="1:8">
      <c r="A516" s="5">
        <v>514</v>
      </c>
      <c r="B516" s="5" t="str">
        <f>"223220191127001819214953"</f>
        <v>223220191127001819214953</v>
      </c>
      <c r="C516" s="5" t="s">
        <v>33</v>
      </c>
      <c r="D516" s="5" t="s">
        <v>34</v>
      </c>
      <c r="E516" s="5" t="str">
        <f>"秦衡飞"</f>
        <v>秦衡飞</v>
      </c>
      <c r="F516" s="5" t="str">
        <f t="shared" ref="F516:F520" si="140">"男"</f>
        <v>男</v>
      </c>
      <c r="G516" s="5" t="str">
        <f>"1996-11-13"</f>
        <v>1996-11-13</v>
      </c>
      <c r="H516" s="5" t="str">
        <f>"中原工学院 "</f>
        <v>中原工学院 </v>
      </c>
    </row>
    <row r="517" s="2" customFormat="1" ht="20" customHeight="1" spans="1:8">
      <c r="A517" s="5">
        <v>515</v>
      </c>
      <c r="B517" s="5" t="str">
        <f>"223220191127084359215022"</f>
        <v>223220191127084359215022</v>
      </c>
      <c r="C517" s="5" t="s">
        <v>33</v>
      </c>
      <c r="D517" s="5" t="s">
        <v>34</v>
      </c>
      <c r="E517" s="5" t="str">
        <f>"吴书怀"</f>
        <v>吴书怀</v>
      </c>
      <c r="F517" s="5" t="str">
        <f t="shared" si="140"/>
        <v>男</v>
      </c>
      <c r="G517" s="5" t="str">
        <f>"1995-03-20"</f>
        <v>1995-03-20</v>
      </c>
      <c r="H517" s="5" t="str">
        <f>"青岛工学院"</f>
        <v>青岛工学院</v>
      </c>
    </row>
    <row r="518" s="2" customFormat="1" ht="20" customHeight="1" spans="1:8">
      <c r="A518" s="5">
        <v>516</v>
      </c>
      <c r="B518" s="5" t="str">
        <f>"223220191127090430215063"</f>
        <v>223220191127090430215063</v>
      </c>
      <c r="C518" s="5" t="s">
        <v>33</v>
      </c>
      <c r="D518" s="5" t="s">
        <v>34</v>
      </c>
      <c r="E518" s="5" t="str">
        <f>"吴英"</f>
        <v>吴英</v>
      </c>
      <c r="F518" s="5" t="str">
        <f t="shared" si="140"/>
        <v>男</v>
      </c>
      <c r="G518" s="5" t="str">
        <f>"1981-02-10"</f>
        <v>1981-02-10</v>
      </c>
      <c r="H518" s="5" t="str">
        <f>"海南广播电视大学"</f>
        <v>海南广播电视大学</v>
      </c>
    </row>
    <row r="519" s="2" customFormat="1" ht="20" customHeight="1" spans="1:8">
      <c r="A519" s="5">
        <v>517</v>
      </c>
      <c r="B519" s="5" t="str">
        <f>"223220191127090751215074"</f>
        <v>223220191127090751215074</v>
      </c>
      <c r="C519" s="5" t="s">
        <v>33</v>
      </c>
      <c r="D519" s="5" t="s">
        <v>34</v>
      </c>
      <c r="E519" s="5" t="str">
        <f>"杨寿星"</f>
        <v>杨寿星</v>
      </c>
      <c r="F519" s="5" t="str">
        <f t="shared" si="140"/>
        <v>男</v>
      </c>
      <c r="G519" s="5" t="str">
        <f>"1994-04-16"</f>
        <v>1994-04-16</v>
      </c>
      <c r="H519" s="5" t="str">
        <f>"江西科技学院"</f>
        <v>江西科技学院</v>
      </c>
    </row>
    <row r="520" s="2" customFormat="1" ht="20" customHeight="1" spans="1:8">
      <c r="A520" s="5">
        <v>518</v>
      </c>
      <c r="B520" s="5" t="str">
        <f>"223220191127090959215078"</f>
        <v>223220191127090959215078</v>
      </c>
      <c r="C520" s="5" t="s">
        <v>33</v>
      </c>
      <c r="D520" s="5" t="s">
        <v>34</v>
      </c>
      <c r="E520" s="5" t="str">
        <f>"符金赞"</f>
        <v>符金赞</v>
      </c>
      <c r="F520" s="5" t="str">
        <f t="shared" si="140"/>
        <v>男</v>
      </c>
      <c r="G520" s="5" t="str">
        <f>"1995-10-01"</f>
        <v>1995-10-01</v>
      </c>
      <c r="H520" s="5" t="str">
        <f>"长春科技学院"</f>
        <v>长春科技学院</v>
      </c>
    </row>
    <row r="521" s="2" customFormat="1" ht="20" customHeight="1" spans="1:8">
      <c r="A521" s="5">
        <v>519</v>
      </c>
      <c r="B521" s="5" t="str">
        <f>"223220191127091923215090"</f>
        <v>223220191127091923215090</v>
      </c>
      <c r="C521" s="5" t="s">
        <v>33</v>
      </c>
      <c r="D521" s="5" t="s">
        <v>34</v>
      </c>
      <c r="E521" s="5" t="str">
        <f>"张博莲"</f>
        <v>张博莲</v>
      </c>
      <c r="F521" s="5" t="str">
        <f t="shared" ref="F521:F527" si="141">"女"</f>
        <v>女</v>
      </c>
      <c r="G521" s="5" t="str">
        <f>"1993-03-16"</f>
        <v>1993-03-16</v>
      </c>
      <c r="H521" s="5" t="str">
        <f>"山西省晋中学院"</f>
        <v>山西省晋中学院</v>
      </c>
    </row>
    <row r="522" s="2" customFormat="1" ht="20" customHeight="1" spans="1:8">
      <c r="A522" s="5">
        <v>520</v>
      </c>
      <c r="B522" s="5" t="str">
        <f>"223220191127092935215110"</f>
        <v>223220191127092935215110</v>
      </c>
      <c r="C522" s="5" t="s">
        <v>33</v>
      </c>
      <c r="D522" s="5" t="s">
        <v>34</v>
      </c>
      <c r="E522" s="5" t="str">
        <f>"苏瑗霞"</f>
        <v>苏瑗霞</v>
      </c>
      <c r="F522" s="5" t="str">
        <f t="shared" si="141"/>
        <v>女</v>
      </c>
      <c r="G522" s="5" t="str">
        <f>"1994-07-09"</f>
        <v>1994-07-09</v>
      </c>
      <c r="H522" s="5" t="str">
        <f>"四川农业大学"</f>
        <v>四川农业大学</v>
      </c>
    </row>
    <row r="523" s="2" customFormat="1" ht="20" customHeight="1" spans="1:8">
      <c r="A523" s="5">
        <v>521</v>
      </c>
      <c r="B523" s="5" t="str">
        <f>"223220191127094110215138"</f>
        <v>223220191127094110215138</v>
      </c>
      <c r="C523" s="5" t="s">
        <v>33</v>
      </c>
      <c r="D523" s="5" t="s">
        <v>34</v>
      </c>
      <c r="E523" s="5" t="str">
        <f>"唐弘雍"</f>
        <v>唐弘雍</v>
      </c>
      <c r="F523" s="5" t="str">
        <f t="shared" ref="F523:F525" si="142">"男"</f>
        <v>男</v>
      </c>
      <c r="G523" s="5" t="str">
        <f>"1994-06-24"</f>
        <v>1994-06-24</v>
      </c>
      <c r="H523" s="5" t="str">
        <f>"天水师范学院"</f>
        <v>天水师范学院</v>
      </c>
    </row>
    <row r="524" s="2" customFormat="1" ht="20" customHeight="1" spans="1:8">
      <c r="A524" s="5">
        <v>522</v>
      </c>
      <c r="B524" s="5" t="str">
        <f>"223220191127110243215263"</f>
        <v>223220191127110243215263</v>
      </c>
      <c r="C524" s="5" t="s">
        <v>33</v>
      </c>
      <c r="D524" s="5" t="s">
        <v>34</v>
      </c>
      <c r="E524" s="5" t="str">
        <f>"李永晋"</f>
        <v>李永晋</v>
      </c>
      <c r="F524" s="5" t="str">
        <f t="shared" si="142"/>
        <v>男</v>
      </c>
      <c r="G524" s="5" t="str">
        <f>"1994-09-08"</f>
        <v>1994-09-08</v>
      </c>
      <c r="H524" s="5" t="str">
        <f>"哈尔滨石油学院"</f>
        <v>哈尔滨石油学院</v>
      </c>
    </row>
    <row r="525" s="2" customFormat="1" ht="20" customHeight="1" spans="1:8">
      <c r="A525" s="5">
        <v>523</v>
      </c>
      <c r="B525" s="5" t="str">
        <f>"223220191127112726215311"</f>
        <v>223220191127112726215311</v>
      </c>
      <c r="C525" s="5" t="s">
        <v>33</v>
      </c>
      <c r="D525" s="5" t="s">
        <v>34</v>
      </c>
      <c r="E525" s="5" t="str">
        <f>"王振前"</f>
        <v>王振前</v>
      </c>
      <c r="F525" s="5" t="str">
        <f t="shared" si="142"/>
        <v>男</v>
      </c>
      <c r="G525" s="5" t="str">
        <f>"1996-10-08"</f>
        <v>1996-10-08</v>
      </c>
      <c r="H525" s="5" t="str">
        <f>"长春工业大学人文信息学院"</f>
        <v>长春工业大学人文信息学院</v>
      </c>
    </row>
    <row r="526" s="2" customFormat="1" ht="20" customHeight="1" spans="1:8">
      <c r="A526" s="5">
        <v>524</v>
      </c>
      <c r="B526" s="5" t="str">
        <f>"223220191127113226215318"</f>
        <v>223220191127113226215318</v>
      </c>
      <c r="C526" s="5" t="s">
        <v>33</v>
      </c>
      <c r="D526" s="5" t="s">
        <v>34</v>
      </c>
      <c r="E526" s="5" t="str">
        <f>"张海花"</f>
        <v>张海花</v>
      </c>
      <c r="F526" s="5" t="str">
        <f>"女"</f>
        <v>女</v>
      </c>
      <c r="G526" s="5" t="str">
        <f>"1985-09-20"</f>
        <v>1985-09-20</v>
      </c>
      <c r="H526" s="5" t="str">
        <f>"信阳师范学院"</f>
        <v>信阳师范学院</v>
      </c>
    </row>
    <row r="527" s="2" customFormat="1" ht="20" customHeight="1" spans="1:8">
      <c r="A527" s="5">
        <v>525</v>
      </c>
      <c r="B527" s="5" t="str">
        <f>"223220191127122929215401"</f>
        <v>223220191127122929215401</v>
      </c>
      <c r="C527" s="5" t="s">
        <v>33</v>
      </c>
      <c r="D527" s="5" t="s">
        <v>34</v>
      </c>
      <c r="E527" s="5" t="str">
        <f>"朱妹兰"</f>
        <v>朱妹兰</v>
      </c>
      <c r="F527" s="5" t="str">
        <f>"女"</f>
        <v>女</v>
      </c>
      <c r="G527" s="5" t="str">
        <f>"1994-09-03"</f>
        <v>1994-09-03</v>
      </c>
      <c r="H527" s="5" t="str">
        <f>"湖南文理学院"</f>
        <v>湖南文理学院</v>
      </c>
    </row>
    <row r="528" s="2" customFormat="1" ht="20" customHeight="1" spans="1:8">
      <c r="A528" s="5">
        <v>526</v>
      </c>
      <c r="B528" s="5" t="str">
        <f>"223220191127134043215494"</f>
        <v>223220191127134043215494</v>
      </c>
      <c r="C528" s="5" t="s">
        <v>33</v>
      </c>
      <c r="D528" s="5" t="s">
        <v>34</v>
      </c>
      <c r="E528" s="5" t="str">
        <f>"陈才舜"</f>
        <v>陈才舜</v>
      </c>
      <c r="F528" s="5" t="str">
        <f t="shared" ref="F528:F534" si="143">"男"</f>
        <v>男</v>
      </c>
      <c r="G528" s="5" t="str">
        <f>"1995-07-28"</f>
        <v>1995-07-28</v>
      </c>
      <c r="H528" s="5" t="str">
        <f>"三亚学院"</f>
        <v>三亚学院</v>
      </c>
    </row>
    <row r="529" s="2" customFormat="1" ht="20" customHeight="1" spans="1:8">
      <c r="A529" s="5">
        <v>527</v>
      </c>
      <c r="B529" s="5" t="str">
        <f>"223220191127164942215777"</f>
        <v>223220191127164942215777</v>
      </c>
      <c r="C529" s="5" t="s">
        <v>33</v>
      </c>
      <c r="D529" s="5" t="s">
        <v>34</v>
      </c>
      <c r="E529" s="5" t="str">
        <f>"吴美花"</f>
        <v>吴美花</v>
      </c>
      <c r="F529" s="5" t="str">
        <f t="shared" ref="F529:F532" si="144">"女"</f>
        <v>女</v>
      </c>
      <c r="G529" s="5" t="str">
        <f>"1992-12-17"</f>
        <v>1992-12-17</v>
      </c>
      <c r="H529" s="5" t="str">
        <f>"浙江万里学院"</f>
        <v>浙江万里学院</v>
      </c>
    </row>
    <row r="530" s="2" customFormat="1" ht="20" customHeight="1" spans="1:8">
      <c r="A530" s="5">
        <v>528</v>
      </c>
      <c r="B530" s="5" t="str">
        <f>"223220191127173304215835"</f>
        <v>223220191127173304215835</v>
      </c>
      <c r="C530" s="5" t="s">
        <v>33</v>
      </c>
      <c r="D530" s="5" t="s">
        <v>34</v>
      </c>
      <c r="E530" s="5" t="str">
        <f>"谢光梅"</f>
        <v>谢光梅</v>
      </c>
      <c r="F530" s="5" t="str">
        <f t="shared" si="144"/>
        <v>女</v>
      </c>
      <c r="G530" s="5" t="str">
        <f>"1994-05-28"</f>
        <v>1994-05-28</v>
      </c>
      <c r="H530" s="5" t="str">
        <f>"辽宁财贸学院"</f>
        <v>辽宁财贸学院</v>
      </c>
    </row>
    <row r="531" s="2" customFormat="1" ht="20" customHeight="1" spans="1:8">
      <c r="A531" s="5">
        <v>529</v>
      </c>
      <c r="B531" s="5" t="str">
        <f>"223220191127173903215848"</f>
        <v>223220191127173903215848</v>
      </c>
      <c r="C531" s="5" t="s">
        <v>33</v>
      </c>
      <c r="D531" s="5" t="s">
        <v>34</v>
      </c>
      <c r="E531" s="5" t="str">
        <f>"羊文彪"</f>
        <v>羊文彪</v>
      </c>
      <c r="F531" s="5" t="str">
        <f t="shared" ref="F531:F534" si="145">"男"</f>
        <v>男</v>
      </c>
      <c r="G531" s="5" t="str">
        <f>"1995-10-24"</f>
        <v>1995-10-24</v>
      </c>
      <c r="H531" s="5" t="str">
        <f>"华南农业大学珠江学院"</f>
        <v>华南农业大学珠江学院</v>
      </c>
    </row>
    <row r="532" s="2" customFormat="1" ht="20" customHeight="1" spans="1:8">
      <c r="A532" s="5">
        <v>530</v>
      </c>
      <c r="B532" s="5" t="str">
        <f>"223220191127180914215881"</f>
        <v>223220191127180914215881</v>
      </c>
      <c r="C532" s="5" t="s">
        <v>33</v>
      </c>
      <c r="D532" s="5" t="s">
        <v>34</v>
      </c>
      <c r="E532" s="5" t="str">
        <f>"谭火芸"</f>
        <v>谭火芸</v>
      </c>
      <c r="F532" s="5" t="str">
        <f>"女"</f>
        <v>女</v>
      </c>
      <c r="G532" s="5" t="str">
        <f>"1991-04-14"</f>
        <v>1991-04-14</v>
      </c>
      <c r="H532" s="5" t="str">
        <f>"山西省忻州师范学院"</f>
        <v>山西省忻州师范学院</v>
      </c>
    </row>
    <row r="533" s="2" customFormat="1" ht="20" customHeight="1" spans="1:8">
      <c r="A533" s="5">
        <v>531</v>
      </c>
      <c r="B533" s="5" t="str">
        <f>"223220191127181613215887"</f>
        <v>223220191127181613215887</v>
      </c>
      <c r="C533" s="5" t="s">
        <v>33</v>
      </c>
      <c r="D533" s="5" t="s">
        <v>34</v>
      </c>
      <c r="E533" s="5" t="str">
        <f>"伍世海"</f>
        <v>伍世海</v>
      </c>
      <c r="F533" s="5" t="str">
        <f>"男"</f>
        <v>男</v>
      </c>
      <c r="G533" s="5" t="str">
        <f>"1992-07-23"</f>
        <v>1992-07-23</v>
      </c>
      <c r="H533" s="5" t="str">
        <f>"海口经济学院"</f>
        <v>海口经济学院</v>
      </c>
    </row>
    <row r="534" s="2" customFormat="1" ht="20" customHeight="1" spans="1:8">
      <c r="A534" s="5">
        <v>532</v>
      </c>
      <c r="B534" s="5" t="str">
        <f>"223220191127183714215910"</f>
        <v>223220191127183714215910</v>
      </c>
      <c r="C534" s="5" t="s">
        <v>33</v>
      </c>
      <c r="D534" s="5" t="s">
        <v>34</v>
      </c>
      <c r="E534" s="5" t="str">
        <f>"吴应逢"</f>
        <v>吴应逢</v>
      </c>
      <c r="F534" s="5" t="str">
        <f>"男"</f>
        <v>男</v>
      </c>
      <c r="G534" s="5" t="str">
        <f>"1993-03-19"</f>
        <v>1993-03-19</v>
      </c>
      <c r="H534" s="5" t="str">
        <f>"海口经济学院"</f>
        <v>海口经济学院</v>
      </c>
    </row>
    <row r="535" s="2" customFormat="1" ht="20" customHeight="1" spans="1:8">
      <c r="A535" s="5">
        <v>533</v>
      </c>
      <c r="B535" s="5" t="str">
        <f>"223220191127190610215933"</f>
        <v>223220191127190610215933</v>
      </c>
      <c r="C535" s="5" t="s">
        <v>33</v>
      </c>
      <c r="D535" s="5" t="s">
        <v>34</v>
      </c>
      <c r="E535" s="5" t="str">
        <f>"王秀玲"</f>
        <v>王秀玲</v>
      </c>
      <c r="F535" s="5" t="str">
        <f t="shared" ref="F535:F538" si="146">"女"</f>
        <v>女</v>
      </c>
      <c r="G535" s="5" t="str">
        <f>"1996-07-15"</f>
        <v>1996-07-15</v>
      </c>
      <c r="H535" s="5" t="str">
        <f>"华南农业大学珠江学院"</f>
        <v>华南农业大学珠江学院</v>
      </c>
    </row>
    <row r="536" s="2" customFormat="1" ht="20" customHeight="1" spans="1:8">
      <c r="A536" s="5">
        <v>534</v>
      </c>
      <c r="B536" s="5" t="str">
        <f>"223220191127190921215938"</f>
        <v>223220191127190921215938</v>
      </c>
      <c r="C536" s="5" t="s">
        <v>33</v>
      </c>
      <c r="D536" s="5" t="s">
        <v>34</v>
      </c>
      <c r="E536" s="5" t="str">
        <f>"林莲花"</f>
        <v>林莲花</v>
      </c>
      <c r="F536" s="5" t="str">
        <f t="shared" si="146"/>
        <v>女</v>
      </c>
      <c r="G536" s="5" t="str">
        <f>"1997-09-28"</f>
        <v>1997-09-28</v>
      </c>
      <c r="H536" s="5" t="str">
        <f>"青岛工学院"</f>
        <v>青岛工学院</v>
      </c>
    </row>
    <row r="537" s="2" customFormat="1" ht="20" customHeight="1" spans="1:8">
      <c r="A537" s="5">
        <v>535</v>
      </c>
      <c r="B537" s="5" t="str">
        <f>"223220191127204314216069"</f>
        <v>223220191127204314216069</v>
      </c>
      <c r="C537" s="5" t="s">
        <v>33</v>
      </c>
      <c r="D537" s="5" t="s">
        <v>34</v>
      </c>
      <c r="E537" s="5" t="str">
        <f>"段丽芳"</f>
        <v>段丽芳</v>
      </c>
      <c r="F537" s="5" t="str">
        <f t="shared" si="146"/>
        <v>女</v>
      </c>
      <c r="G537" s="5" t="str">
        <f>"1995-05-23"</f>
        <v>1995-05-23</v>
      </c>
      <c r="H537" s="5" t="str">
        <f>"海南师范大学"</f>
        <v>海南师范大学</v>
      </c>
    </row>
    <row r="538" s="2" customFormat="1" ht="20" customHeight="1" spans="1:8">
      <c r="A538" s="5">
        <v>536</v>
      </c>
      <c r="B538" s="5" t="str">
        <f>"223220191127210945216103"</f>
        <v>223220191127210945216103</v>
      </c>
      <c r="C538" s="5" t="s">
        <v>33</v>
      </c>
      <c r="D538" s="5" t="s">
        <v>34</v>
      </c>
      <c r="E538" s="5" t="str">
        <f>"陈静花"</f>
        <v>陈静花</v>
      </c>
      <c r="F538" s="5" t="str">
        <f t="shared" si="146"/>
        <v>女</v>
      </c>
      <c r="G538" s="5" t="str">
        <f>"1994-06-10"</f>
        <v>1994-06-10</v>
      </c>
      <c r="H538" s="5" t="str">
        <f>"吉林师范大学博达学院"</f>
        <v>吉林师范大学博达学院</v>
      </c>
    </row>
    <row r="539" s="2" customFormat="1" ht="20" customHeight="1" spans="1:8">
      <c r="A539" s="5">
        <v>537</v>
      </c>
      <c r="B539" s="5" t="str">
        <f>"223220191127220304216174"</f>
        <v>223220191127220304216174</v>
      </c>
      <c r="C539" s="5" t="s">
        <v>33</v>
      </c>
      <c r="D539" s="5" t="s">
        <v>34</v>
      </c>
      <c r="E539" s="5" t="str">
        <f>"李学君"</f>
        <v>李学君</v>
      </c>
      <c r="F539" s="5" t="str">
        <f t="shared" ref="F539:F543" si="147">"男"</f>
        <v>男</v>
      </c>
      <c r="G539" s="5" t="str">
        <f>"1994-05-06"</f>
        <v>1994-05-06</v>
      </c>
      <c r="H539" s="5" t="str">
        <f>"中国地质大学长城学院"</f>
        <v>中国地质大学长城学院</v>
      </c>
    </row>
    <row r="540" s="2" customFormat="1" ht="20" customHeight="1" spans="1:8">
      <c r="A540" s="5">
        <v>538</v>
      </c>
      <c r="B540" s="5" t="str">
        <f>"223220191127222409216201"</f>
        <v>223220191127222409216201</v>
      </c>
      <c r="C540" s="5" t="s">
        <v>33</v>
      </c>
      <c r="D540" s="5" t="s">
        <v>34</v>
      </c>
      <c r="E540" s="5" t="str">
        <f>"符圣主"</f>
        <v>符圣主</v>
      </c>
      <c r="F540" s="5" t="str">
        <f t="shared" si="147"/>
        <v>男</v>
      </c>
      <c r="G540" s="5" t="str">
        <f>"1992-10-08"</f>
        <v>1992-10-08</v>
      </c>
      <c r="H540" s="5" t="str">
        <f>"内蒙古科技大学"</f>
        <v>内蒙古科技大学</v>
      </c>
    </row>
    <row r="541" s="2" customFormat="1" ht="20" customHeight="1" spans="1:8">
      <c r="A541" s="5">
        <v>539</v>
      </c>
      <c r="B541" s="5" t="str">
        <f>"223220191127222832216205"</f>
        <v>223220191127222832216205</v>
      </c>
      <c r="C541" s="5" t="s">
        <v>33</v>
      </c>
      <c r="D541" s="5" t="s">
        <v>34</v>
      </c>
      <c r="E541" s="5" t="str">
        <f>"李筱燕"</f>
        <v>李筱燕</v>
      </c>
      <c r="F541" s="5" t="str">
        <f t="shared" ref="F541:F548" si="148">"女"</f>
        <v>女</v>
      </c>
      <c r="G541" s="5" t="str">
        <f>"1994-07-02"</f>
        <v>1994-07-02</v>
      </c>
      <c r="H541" s="5" t="str">
        <f>"重庆邮电大学"</f>
        <v>重庆邮电大学</v>
      </c>
    </row>
    <row r="542" s="2" customFormat="1" ht="20" customHeight="1" spans="1:8">
      <c r="A542" s="5">
        <v>540</v>
      </c>
      <c r="B542" s="5" t="str">
        <f>"223220191127223320216210"</f>
        <v>223220191127223320216210</v>
      </c>
      <c r="C542" s="5" t="s">
        <v>33</v>
      </c>
      <c r="D542" s="5" t="s">
        <v>34</v>
      </c>
      <c r="E542" s="5" t="str">
        <f>"羊献威"</f>
        <v>羊献威</v>
      </c>
      <c r="F542" s="5" t="str">
        <f>"男"</f>
        <v>男</v>
      </c>
      <c r="G542" s="5" t="str">
        <f>"1991-12-25"</f>
        <v>1991-12-25</v>
      </c>
      <c r="H542" s="5" t="str">
        <f>"西安外事学院"</f>
        <v>西安外事学院</v>
      </c>
    </row>
    <row r="543" s="2" customFormat="1" ht="20" customHeight="1" spans="1:8">
      <c r="A543" s="5">
        <v>541</v>
      </c>
      <c r="B543" s="5" t="str">
        <f>"223220191127224635216224"</f>
        <v>223220191127224635216224</v>
      </c>
      <c r="C543" s="5" t="s">
        <v>33</v>
      </c>
      <c r="D543" s="5" t="s">
        <v>34</v>
      </c>
      <c r="E543" s="5" t="str">
        <f>"谢爵蔚"</f>
        <v>谢爵蔚</v>
      </c>
      <c r="F543" s="5" t="str">
        <f>"男"</f>
        <v>男</v>
      </c>
      <c r="G543" s="5" t="str">
        <f>"1990-10-14"</f>
        <v>1990-10-14</v>
      </c>
      <c r="H543" s="5" t="str">
        <f>"吉林建筑大学城建学院"</f>
        <v>吉林建筑大学城建学院</v>
      </c>
    </row>
    <row r="544" s="2" customFormat="1" ht="20" customHeight="1" spans="1:8">
      <c r="A544" s="5">
        <v>542</v>
      </c>
      <c r="B544" s="5" t="str">
        <f>"223220191128090311216339"</f>
        <v>223220191128090311216339</v>
      </c>
      <c r="C544" s="5" t="s">
        <v>33</v>
      </c>
      <c r="D544" s="5" t="s">
        <v>34</v>
      </c>
      <c r="E544" s="5" t="str">
        <f>"叶桂萍"</f>
        <v>叶桂萍</v>
      </c>
      <c r="F544" s="5" t="str">
        <f t="shared" ref="F544:F548" si="149">"女"</f>
        <v>女</v>
      </c>
      <c r="G544" s="5" t="str">
        <f>"1989-01-24"</f>
        <v>1989-01-24</v>
      </c>
      <c r="H544" s="5" t="str">
        <f>"云南大学旅游文化学院"</f>
        <v>云南大学旅游文化学院</v>
      </c>
    </row>
    <row r="545" s="2" customFormat="1" ht="20" customHeight="1" spans="1:8">
      <c r="A545" s="5">
        <v>543</v>
      </c>
      <c r="B545" s="5" t="str">
        <f>"223220191128092457216376"</f>
        <v>223220191128092457216376</v>
      </c>
      <c r="C545" s="5" t="s">
        <v>33</v>
      </c>
      <c r="D545" s="5" t="s">
        <v>34</v>
      </c>
      <c r="E545" s="5" t="str">
        <f>"李丽芳"</f>
        <v>李丽芳</v>
      </c>
      <c r="F545" s="5" t="str">
        <f t="shared" si="149"/>
        <v>女</v>
      </c>
      <c r="G545" s="5" t="str">
        <f>"1992-07-06"</f>
        <v>1992-07-06</v>
      </c>
      <c r="H545" s="5" t="str">
        <f>"红河学院"</f>
        <v>红河学院</v>
      </c>
    </row>
    <row r="546" s="2" customFormat="1" ht="20" customHeight="1" spans="1:8">
      <c r="A546" s="5">
        <v>544</v>
      </c>
      <c r="B546" s="5" t="str">
        <f>"223220191128101247216446"</f>
        <v>223220191128101247216446</v>
      </c>
      <c r="C546" s="5" t="s">
        <v>33</v>
      </c>
      <c r="D546" s="5" t="s">
        <v>34</v>
      </c>
      <c r="E546" s="5" t="str">
        <f>"唐萍"</f>
        <v>唐萍</v>
      </c>
      <c r="F546" s="5" t="str">
        <f t="shared" si="149"/>
        <v>女</v>
      </c>
      <c r="G546" s="5" t="str">
        <f>"1993-01-03"</f>
        <v>1993-01-03</v>
      </c>
      <c r="H546" s="5" t="str">
        <f>"江西农业大学"</f>
        <v>江西农业大学</v>
      </c>
    </row>
    <row r="547" s="2" customFormat="1" ht="20" customHeight="1" spans="1:8">
      <c r="A547" s="5">
        <v>545</v>
      </c>
      <c r="B547" s="5" t="str">
        <f>"223220191128115619216595"</f>
        <v>223220191128115619216595</v>
      </c>
      <c r="C547" s="5" t="s">
        <v>33</v>
      </c>
      <c r="D547" s="5" t="s">
        <v>34</v>
      </c>
      <c r="E547" s="5" t="str">
        <f>"薛妹丹"</f>
        <v>薛妹丹</v>
      </c>
      <c r="F547" s="5" t="str">
        <f t="shared" si="149"/>
        <v>女</v>
      </c>
      <c r="G547" s="5" t="str">
        <f>"1995-06-08"</f>
        <v>1995-06-08</v>
      </c>
      <c r="H547" s="5" t="str">
        <f>"景德镇陶瓷大学科技艺术学院"</f>
        <v>景德镇陶瓷大学科技艺术学院</v>
      </c>
    </row>
    <row r="548" s="2" customFormat="1" ht="20" customHeight="1" spans="1:8">
      <c r="A548" s="5">
        <v>546</v>
      </c>
      <c r="B548" s="5" t="str">
        <f>"223220191128130353216669"</f>
        <v>223220191128130353216669</v>
      </c>
      <c r="C548" s="5" t="s">
        <v>33</v>
      </c>
      <c r="D548" s="5" t="s">
        <v>34</v>
      </c>
      <c r="E548" s="5" t="str">
        <f>"王有莹"</f>
        <v>王有莹</v>
      </c>
      <c r="F548" s="5" t="str">
        <f t="shared" si="149"/>
        <v>女</v>
      </c>
      <c r="G548" s="5" t="str">
        <f>"1995-07-11"</f>
        <v>1995-07-11</v>
      </c>
      <c r="H548" s="5" t="str">
        <f>"哈尔滨商业大学"</f>
        <v>哈尔滨商业大学</v>
      </c>
    </row>
    <row r="549" s="2" customFormat="1" ht="20" customHeight="1" spans="1:8">
      <c r="A549" s="5">
        <v>547</v>
      </c>
      <c r="B549" s="5" t="str">
        <f>"223220191128151733216846"</f>
        <v>223220191128151733216846</v>
      </c>
      <c r="C549" s="5" t="s">
        <v>33</v>
      </c>
      <c r="D549" s="5" t="s">
        <v>34</v>
      </c>
      <c r="E549" s="5" t="str">
        <f>"汤运超"</f>
        <v>汤运超</v>
      </c>
      <c r="F549" s="5" t="str">
        <f t="shared" ref="F549:F554" si="150">"男"</f>
        <v>男</v>
      </c>
      <c r="G549" s="5" t="str">
        <f>"1981-10-03"</f>
        <v>1981-10-03</v>
      </c>
      <c r="H549" s="5" t="str">
        <f>"中央广播电视大学"</f>
        <v>中央广播电视大学</v>
      </c>
    </row>
    <row r="550" s="2" customFormat="1" ht="20" customHeight="1" spans="1:8">
      <c r="A550" s="5">
        <v>548</v>
      </c>
      <c r="B550" s="5" t="str">
        <f>"223220191128193309217102"</f>
        <v>223220191128193309217102</v>
      </c>
      <c r="C550" s="5" t="s">
        <v>33</v>
      </c>
      <c r="D550" s="5" t="s">
        <v>34</v>
      </c>
      <c r="E550" s="5" t="str">
        <f>"董壮霞"</f>
        <v>董壮霞</v>
      </c>
      <c r="F550" s="5" t="str">
        <f t="shared" ref="F550:F553" si="151">"女"</f>
        <v>女</v>
      </c>
      <c r="G550" s="5" t="str">
        <f>"1995-03-06"</f>
        <v>1995-03-06</v>
      </c>
      <c r="H550" s="5" t="str">
        <f>"江西科技学院"</f>
        <v>江西科技学院</v>
      </c>
    </row>
    <row r="551" s="2" customFormat="1" ht="20" customHeight="1" spans="1:8">
      <c r="A551" s="5">
        <v>549</v>
      </c>
      <c r="B551" s="5" t="str">
        <f>"223220191128201048217137"</f>
        <v>223220191128201048217137</v>
      </c>
      <c r="C551" s="5" t="s">
        <v>33</v>
      </c>
      <c r="D551" s="5" t="s">
        <v>34</v>
      </c>
      <c r="E551" s="5" t="str">
        <f>"林云"</f>
        <v>林云</v>
      </c>
      <c r="F551" s="5" t="str">
        <f>"男"</f>
        <v>男</v>
      </c>
      <c r="G551" s="5" t="str">
        <f>"1991-03-14"</f>
        <v>1991-03-14</v>
      </c>
      <c r="H551" s="5" t="str">
        <f>"北华大学"</f>
        <v>北华大学</v>
      </c>
    </row>
    <row r="552" s="2" customFormat="1" ht="20" customHeight="1" spans="1:8">
      <c r="A552" s="5">
        <v>550</v>
      </c>
      <c r="B552" s="5" t="str">
        <f>"223220191128203539217152"</f>
        <v>223220191128203539217152</v>
      </c>
      <c r="C552" s="5" t="s">
        <v>33</v>
      </c>
      <c r="D552" s="5" t="s">
        <v>34</v>
      </c>
      <c r="E552" s="5" t="str">
        <f>"李学交"</f>
        <v>李学交</v>
      </c>
      <c r="F552" s="5" t="str">
        <f>"女"</f>
        <v>女</v>
      </c>
      <c r="G552" s="5" t="str">
        <f>"1993-12-02"</f>
        <v>1993-12-02</v>
      </c>
      <c r="H552" s="5" t="str">
        <f>"长春工业大学人文信息学院"</f>
        <v>长春工业大学人文信息学院</v>
      </c>
    </row>
    <row r="553" s="2" customFormat="1" ht="20" customHeight="1" spans="1:8">
      <c r="A553" s="5">
        <v>551</v>
      </c>
      <c r="B553" s="5" t="str">
        <f>"223220191128211339217185"</f>
        <v>223220191128211339217185</v>
      </c>
      <c r="C553" s="5" t="s">
        <v>33</v>
      </c>
      <c r="D553" s="5" t="s">
        <v>34</v>
      </c>
      <c r="E553" s="5" t="str">
        <f>"邱晨"</f>
        <v>邱晨</v>
      </c>
      <c r="F553" s="5" t="str">
        <f>"女"</f>
        <v>女</v>
      </c>
      <c r="G553" s="5" t="str">
        <f>"1992-11-19"</f>
        <v>1992-11-19</v>
      </c>
      <c r="H553" s="5" t="str">
        <f>"贵州师范学院"</f>
        <v>贵州师范学院</v>
      </c>
    </row>
    <row r="554" s="2" customFormat="1" ht="20" customHeight="1" spans="1:8">
      <c r="A554" s="5">
        <v>552</v>
      </c>
      <c r="B554" s="5" t="str">
        <f>"223220191129101655217399"</f>
        <v>223220191129101655217399</v>
      </c>
      <c r="C554" s="5" t="s">
        <v>33</v>
      </c>
      <c r="D554" s="5" t="s">
        <v>34</v>
      </c>
      <c r="E554" s="5" t="str">
        <f>"符博垂"</f>
        <v>符博垂</v>
      </c>
      <c r="F554" s="5" t="str">
        <f>"男"</f>
        <v>男</v>
      </c>
      <c r="G554" s="5" t="str">
        <f>"1994-05-13"</f>
        <v>1994-05-13</v>
      </c>
      <c r="H554" s="5" t="str">
        <f>"山东大学"</f>
        <v>山东大学</v>
      </c>
    </row>
    <row r="555" s="2" customFormat="1" ht="20" customHeight="1" spans="1:8">
      <c r="A555" s="5">
        <v>553</v>
      </c>
      <c r="B555" s="5" t="str">
        <f>"223220191129114032217471"</f>
        <v>223220191129114032217471</v>
      </c>
      <c r="C555" s="5" t="s">
        <v>33</v>
      </c>
      <c r="D555" s="5" t="s">
        <v>34</v>
      </c>
      <c r="E555" s="5" t="str">
        <f>"符汝芳"</f>
        <v>符汝芳</v>
      </c>
      <c r="F555" s="5" t="str">
        <f t="shared" ref="F555:F561" si="152">"女"</f>
        <v>女</v>
      </c>
      <c r="G555" s="5" t="str">
        <f>"1990-05-18"</f>
        <v>1990-05-18</v>
      </c>
      <c r="H555" s="5" t="str">
        <f>"辽宁石油化工大学"</f>
        <v>辽宁石油化工大学</v>
      </c>
    </row>
    <row r="556" s="2" customFormat="1" ht="20" customHeight="1" spans="1:8">
      <c r="A556" s="5">
        <v>554</v>
      </c>
      <c r="B556" s="5" t="str">
        <f>"223220191129122941217502"</f>
        <v>223220191129122941217502</v>
      </c>
      <c r="C556" s="5" t="s">
        <v>33</v>
      </c>
      <c r="D556" s="5" t="s">
        <v>34</v>
      </c>
      <c r="E556" s="5" t="str">
        <f>"唐淑兰"</f>
        <v>唐淑兰</v>
      </c>
      <c r="F556" s="5" t="str">
        <f t="shared" si="152"/>
        <v>女</v>
      </c>
      <c r="G556" s="5" t="str">
        <f>"1990-12-22"</f>
        <v>1990-12-22</v>
      </c>
      <c r="H556" s="5" t="str">
        <f>"海南大学"</f>
        <v>海南大学</v>
      </c>
    </row>
    <row r="557" s="2" customFormat="1" ht="20" customHeight="1" spans="1:8">
      <c r="A557" s="5">
        <v>555</v>
      </c>
      <c r="B557" s="5" t="str">
        <f>"223220191129124053217509"</f>
        <v>223220191129124053217509</v>
      </c>
      <c r="C557" s="5" t="s">
        <v>33</v>
      </c>
      <c r="D557" s="5" t="s">
        <v>34</v>
      </c>
      <c r="E557" s="5" t="str">
        <f>"张才耀"</f>
        <v>张才耀</v>
      </c>
      <c r="F557" s="5" t="str">
        <f t="shared" ref="F557:F559" si="153">"男"</f>
        <v>男</v>
      </c>
      <c r="G557" s="5" t="str">
        <f>"1993-04-08"</f>
        <v>1993-04-08</v>
      </c>
      <c r="H557" s="5" t="str">
        <f>"长春中医药大学"</f>
        <v>长春中医药大学</v>
      </c>
    </row>
    <row r="558" s="2" customFormat="1" ht="20" customHeight="1" spans="1:8">
      <c r="A558" s="5">
        <v>556</v>
      </c>
      <c r="B558" s="5" t="str">
        <f>"223220191129162340217647"</f>
        <v>223220191129162340217647</v>
      </c>
      <c r="C558" s="5" t="s">
        <v>33</v>
      </c>
      <c r="D558" s="5" t="s">
        <v>34</v>
      </c>
      <c r="E558" s="5" t="str">
        <f>"李良高"</f>
        <v>李良高</v>
      </c>
      <c r="F558" s="5" t="str">
        <f t="shared" si="153"/>
        <v>男</v>
      </c>
      <c r="G558" s="5" t="str">
        <f>"1995-01-02"</f>
        <v>1995-01-02</v>
      </c>
      <c r="H558" s="5" t="str">
        <f>"长春工业大学人文信息学院"</f>
        <v>长春工业大学人文信息学院</v>
      </c>
    </row>
    <row r="559" s="2" customFormat="1" ht="20" customHeight="1" spans="1:8">
      <c r="A559" s="5">
        <v>557</v>
      </c>
      <c r="B559" s="5" t="str">
        <f>"223220191129210010217810"</f>
        <v>223220191129210010217810</v>
      </c>
      <c r="C559" s="5" t="s">
        <v>33</v>
      </c>
      <c r="D559" s="5" t="s">
        <v>34</v>
      </c>
      <c r="E559" s="5" t="str">
        <f>"符建颖"</f>
        <v>符建颖</v>
      </c>
      <c r="F559" s="5" t="str">
        <f t="shared" si="153"/>
        <v>男</v>
      </c>
      <c r="G559" s="5" t="str">
        <f>"1993-10-15"</f>
        <v>1993-10-15</v>
      </c>
      <c r="H559" s="5" t="str">
        <f>"中南财经政法大学"</f>
        <v>中南财经政法大学</v>
      </c>
    </row>
    <row r="560" s="2" customFormat="1" ht="20" customHeight="1" spans="1:8">
      <c r="A560" s="5">
        <v>558</v>
      </c>
      <c r="B560" s="5" t="str">
        <f>"223220191129215616217837"</f>
        <v>223220191129215616217837</v>
      </c>
      <c r="C560" s="5" t="s">
        <v>33</v>
      </c>
      <c r="D560" s="5" t="s">
        <v>34</v>
      </c>
      <c r="E560" s="5" t="str">
        <f>"谢楼"</f>
        <v>谢楼</v>
      </c>
      <c r="F560" s="5" t="str">
        <f t="shared" ref="F560:F564" si="154">"女"</f>
        <v>女</v>
      </c>
      <c r="G560" s="5" t="str">
        <f>"1991-09-22"</f>
        <v>1991-09-22</v>
      </c>
      <c r="H560" s="5" t="str">
        <f>"西安外国语大学"</f>
        <v>西安外国语大学</v>
      </c>
    </row>
    <row r="561" s="2" customFormat="1" ht="20" customHeight="1" spans="1:8">
      <c r="A561" s="5">
        <v>559</v>
      </c>
      <c r="B561" s="5" t="str">
        <f>"223220191130093741217934"</f>
        <v>223220191130093741217934</v>
      </c>
      <c r="C561" s="5" t="s">
        <v>33</v>
      </c>
      <c r="D561" s="5" t="s">
        <v>34</v>
      </c>
      <c r="E561" s="5" t="str">
        <f>"罗春钰"</f>
        <v>罗春钰</v>
      </c>
      <c r="F561" s="5" t="str">
        <f t="shared" si="154"/>
        <v>女</v>
      </c>
      <c r="G561" s="5" t="str">
        <f>"1996-03-19"</f>
        <v>1996-03-19</v>
      </c>
      <c r="H561" s="5" t="str">
        <f>"西华大学"</f>
        <v>西华大学</v>
      </c>
    </row>
    <row r="562" s="2" customFormat="1" ht="20" customHeight="1" spans="1:8">
      <c r="A562" s="5">
        <v>560</v>
      </c>
      <c r="B562" s="5" t="str">
        <f>"223220191130110548217987"</f>
        <v>223220191130110548217987</v>
      </c>
      <c r="C562" s="5" t="s">
        <v>33</v>
      </c>
      <c r="D562" s="5" t="s">
        <v>34</v>
      </c>
      <c r="E562" s="5" t="str">
        <f>"汤新图"</f>
        <v>汤新图</v>
      </c>
      <c r="F562" s="5" t="str">
        <f t="shared" ref="F562:F569" si="155">"男"</f>
        <v>男</v>
      </c>
      <c r="G562" s="5" t="str">
        <f>"1996-02-19"</f>
        <v>1996-02-19</v>
      </c>
      <c r="H562" s="5" t="str">
        <f>"北京理工大学珠海学院"</f>
        <v>北京理工大学珠海学院</v>
      </c>
    </row>
    <row r="563" s="2" customFormat="1" ht="20" customHeight="1" spans="1:8">
      <c r="A563" s="5">
        <v>561</v>
      </c>
      <c r="B563" s="5" t="str">
        <f>"223220191130141637218078"</f>
        <v>223220191130141637218078</v>
      </c>
      <c r="C563" s="5" t="s">
        <v>33</v>
      </c>
      <c r="D563" s="5" t="s">
        <v>34</v>
      </c>
      <c r="E563" s="5" t="str">
        <f>"赵积豪"</f>
        <v>赵积豪</v>
      </c>
      <c r="F563" s="5" t="str">
        <f t="shared" si="155"/>
        <v>男</v>
      </c>
      <c r="G563" s="5" t="str">
        <f>"1990-10-27"</f>
        <v>1990-10-27</v>
      </c>
      <c r="H563" s="5" t="str">
        <f>"琼州学院"</f>
        <v>琼州学院</v>
      </c>
    </row>
    <row r="564" s="2" customFormat="1" ht="20" customHeight="1" spans="1:8">
      <c r="A564" s="5">
        <v>562</v>
      </c>
      <c r="B564" s="5" t="str">
        <f>"223220191123090825209991"</f>
        <v>223220191123090825209991</v>
      </c>
      <c r="C564" s="5" t="s">
        <v>35</v>
      </c>
      <c r="D564" s="5" t="s">
        <v>36</v>
      </c>
      <c r="E564" s="5" t="str">
        <f>"许秀英"</f>
        <v>许秀英</v>
      </c>
      <c r="F564" s="5" t="str">
        <f>"女"</f>
        <v>女</v>
      </c>
      <c r="G564" s="5" t="str">
        <f>"1996-08-06"</f>
        <v>1996-08-06</v>
      </c>
      <c r="H564" s="5" t="str">
        <f>"东北师范大学人文学院"</f>
        <v>东北师范大学人文学院</v>
      </c>
    </row>
    <row r="565" s="2" customFormat="1" ht="20" customHeight="1" spans="1:8">
      <c r="A565" s="5">
        <v>563</v>
      </c>
      <c r="B565" s="5" t="str">
        <f>"223220191123093042210018"</f>
        <v>223220191123093042210018</v>
      </c>
      <c r="C565" s="5" t="s">
        <v>35</v>
      </c>
      <c r="D565" s="5" t="s">
        <v>36</v>
      </c>
      <c r="E565" s="5" t="str">
        <f>"许学尚"</f>
        <v>许学尚</v>
      </c>
      <c r="F565" s="5" t="str">
        <f t="shared" ref="F565:F569" si="156">"男"</f>
        <v>男</v>
      </c>
      <c r="G565" s="5" t="str">
        <f>"1992-10-24"</f>
        <v>1992-10-24</v>
      </c>
      <c r="H565" s="5" t="str">
        <f>"南宁学院"</f>
        <v>南宁学院</v>
      </c>
    </row>
    <row r="566" s="2" customFormat="1" ht="20" customHeight="1" spans="1:8">
      <c r="A566" s="5">
        <v>564</v>
      </c>
      <c r="B566" s="5" t="str">
        <f>"223220191123101659210090"</f>
        <v>223220191123101659210090</v>
      </c>
      <c r="C566" s="5" t="s">
        <v>35</v>
      </c>
      <c r="D566" s="5" t="s">
        <v>36</v>
      </c>
      <c r="E566" s="5" t="str">
        <f>"李磊"</f>
        <v>李磊</v>
      </c>
      <c r="F566" s="5" t="str">
        <f t="shared" si="156"/>
        <v>男</v>
      </c>
      <c r="G566" s="5" t="str">
        <f>"1995-06-14"</f>
        <v>1995-06-14</v>
      </c>
      <c r="H566" s="5" t="str">
        <f>"广西民族师范学院"</f>
        <v>广西民族师范学院</v>
      </c>
    </row>
    <row r="567" s="2" customFormat="1" ht="20" customHeight="1" spans="1:8">
      <c r="A567" s="5">
        <v>565</v>
      </c>
      <c r="B567" s="5" t="str">
        <f>"223220191123102429210102"</f>
        <v>223220191123102429210102</v>
      </c>
      <c r="C567" s="5" t="s">
        <v>35</v>
      </c>
      <c r="D567" s="5" t="s">
        <v>36</v>
      </c>
      <c r="E567" s="5" t="str">
        <f>"陈义才"</f>
        <v>陈义才</v>
      </c>
      <c r="F567" s="5" t="str">
        <f t="shared" si="156"/>
        <v>男</v>
      </c>
      <c r="G567" s="5" t="str">
        <f>"1994-08-19"</f>
        <v>1994-08-19</v>
      </c>
      <c r="H567" s="5" t="str">
        <f>"西北民族大学"</f>
        <v>西北民族大学</v>
      </c>
    </row>
    <row r="568" s="2" customFormat="1" ht="20" customHeight="1" spans="1:8">
      <c r="A568" s="5">
        <v>566</v>
      </c>
      <c r="B568" s="5" t="str">
        <f>"223220191123103914210127"</f>
        <v>223220191123103914210127</v>
      </c>
      <c r="C568" s="5" t="s">
        <v>35</v>
      </c>
      <c r="D568" s="5" t="s">
        <v>36</v>
      </c>
      <c r="E568" s="5" t="str">
        <f>"吴斌"</f>
        <v>吴斌</v>
      </c>
      <c r="F568" s="5" t="str">
        <f t="shared" si="156"/>
        <v>男</v>
      </c>
      <c r="G568" s="5" t="str">
        <f>"1993-08-25"</f>
        <v>1993-08-25</v>
      </c>
      <c r="H568" s="5" t="str">
        <f>"电子科技大学中山学院"</f>
        <v>电子科技大学中山学院</v>
      </c>
    </row>
    <row r="569" s="2" customFormat="1" ht="20" customHeight="1" spans="1:8">
      <c r="A569" s="5">
        <v>567</v>
      </c>
      <c r="B569" s="5" t="str">
        <f>"223220191123114405210203"</f>
        <v>223220191123114405210203</v>
      </c>
      <c r="C569" s="5" t="s">
        <v>35</v>
      </c>
      <c r="D569" s="5" t="s">
        <v>36</v>
      </c>
      <c r="E569" s="5" t="str">
        <f>"羊发模"</f>
        <v>羊发模</v>
      </c>
      <c r="F569" s="5" t="str">
        <f t="shared" si="156"/>
        <v>男</v>
      </c>
      <c r="G569" s="5" t="str">
        <f>"1992-05-01"</f>
        <v>1992-05-01</v>
      </c>
      <c r="H569" s="5" t="str">
        <f>"长春光华学院"</f>
        <v>长春光华学院</v>
      </c>
    </row>
    <row r="570" s="2" customFormat="1" ht="20" customHeight="1" spans="1:8">
      <c r="A570" s="5">
        <v>568</v>
      </c>
      <c r="B570" s="5" t="str">
        <f>"223220191123115506210221"</f>
        <v>223220191123115506210221</v>
      </c>
      <c r="C570" s="5" t="s">
        <v>35</v>
      </c>
      <c r="D570" s="5" t="s">
        <v>36</v>
      </c>
      <c r="E570" s="5" t="str">
        <f>"王秀兰"</f>
        <v>王秀兰</v>
      </c>
      <c r="F570" s="5" t="str">
        <f t="shared" ref="F570:F574" si="157">"女"</f>
        <v>女</v>
      </c>
      <c r="G570" s="5" t="str">
        <f>"1987-09-21"</f>
        <v>1987-09-21</v>
      </c>
      <c r="H570" s="5" t="str">
        <f>"中国医科大学临床医药学院"</f>
        <v>中国医科大学临床医药学院</v>
      </c>
    </row>
    <row r="571" s="2" customFormat="1" ht="20" customHeight="1" spans="1:8">
      <c r="A571" s="5">
        <v>569</v>
      </c>
      <c r="B571" s="5" t="str">
        <f>"223220191123115907210227"</f>
        <v>223220191123115907210227</v>
      </c>
      <c r="C571" s="5" t="s">
        <v>35</v>
      </c>
      <c r="D571" s="5" t="s">
        <v>36</v>
      </c>
      <c r="E571" s="5" t="str">
        <f>"黄玉娴"</f>
        <v>黄玉娴</v>
      </c>
      <c r="F571" s="5" t="str">
        <f t="shared" si="157"/>
        <v>女</v>
      </c>
      <c r="G571" s="5" t="str">
        <f>"1991-02-28"</f>
        <v>1991-02-28</v>
      </c>
      <c r="H571" s="5" t="str">
        <f>"大理学院"</f>
        <v>大理学院</v>
      </c>
    </row>
    <row r="572" s="2" customFormat="1" ht="20" customHeight="1" spans="1:8">
      <c r="A572" s="5">
        <v>570</v>
      </c>
      <c r="B572" s="5" t="str">
        <f>"223220191123120608210232"</f>
        <v>223220191123120608210232</v>
      </c>
      <c r="C572" s="5" t="s">
        <v>35</v>
      </c>
      <c r="D572" s="5" t="s">
        <v>36</v>
      </c>
      <c r="E572" s="5" t="str">
        <f>"邱建荣"</f>
        <v>邱建荣</v>
      </c>
      <c r="F572" s="5" t="str">
        <f t="shared" ref="F572:F576" si="158">"男"</f>
        <v>男</v>
      </c>
      <c r="G572" s="5" t="str">
        <f>"1994-12-08"</f>
        <v>1994-12-08</v>
      </c>
      <c r="H572" s="5" t="str">
        <f>"海口经济学院"</f>
        <v>海口经济学院</v>
      </c>
    </row>
    <row r="573" s="2" customFormat="1" ht="20" customHeight="1" spans="1:8">
      <c r="A573" s="5">
        <v>571</v>
      </c>
      <c r="B573" s="5" t="str">
        <f>"223220191123122810210260"</f>
        <v>223220191123122810210260</v>
      </c>
      <c r="C573" s="5" t="s">
        <v>35</v>
      </c>
      <c r="D573" s="5" t="s">
        <v>36</v>
      </c>
      <c r="E573" s="5" t="str">
        <f>"符凯"</f>
        <v>符凯</v>
      </c>
      <c r="F573" s="5" t="str">
        <f>"女"</f>
        <v>女</v>
      </c>
      <c r="G573" s="5" t="str">
        <f>"1992-12-18"</f>
        <v>1992-12-18</v>
      </c>
      <c r="H573" s="5" t="str">
        <f>"天津农学院"</f>
        <v>天津农学院</v>
      </c>
    </row>
    <row r="574" s="2" customFormat="1" ht="20" customHeight="1" spans="1:8">
      <c r="A574" s="5">
        <v>572</v>
      </c>
      <c r="B574" s="5" t="str">
        <f>"223220191123135406210330"</f>
        <v>223220191123135406210330</v>
      </c>
      <c r="C574" s="5" t="s">
        <v>35</v>
      </c>
      <c r="D574" s="5" t="s">
        <v>36</v>
      </c>
      <c r="E574" s="5" t="str">
        <f>"羊光女"</f>
        <v>羊光女</v>
      </c>
      <c r="F574" s="5" t="str">
        <f>"女"</f>
        <v>女</v>
      </c>
      <c r="G574" s="5" t="str">
        <f>"1996-08-07"</f>
        <v>1996-08-07</v>
      </c>
      <c r="H574" s="5" t="str">
        <f>"长治医学院"</f>
        <v>长治医学院</v>
      </c>
    </row>
    <row r="575" s="2" customFormat="1" ht="20" customHeight="1" spans="1:8">
      <c r="A575" s="5">
        <v>573</v>
      </c>
      <c r="B575" s="5" t="str">
        <f>"223220191123140944210338"</f>
        <v>223220191123140944210338</v>
      </c>
      <c r="C575" s="5" t="s">
        <v>35</v>
      </c>
      <c r="D575" s="5" t="s">
        <v>36</v>
      </c>
      <c r="E575" s="5" t="str">
        <f>"李世昆"</f>
        <v>李世昆</v>
      </c>
      <c r="F575" s="5" t="str">
        <f>"男"</f>
        <v>男</v>
      </c>
      <c r="G575" s="5" t="str">
        <f>"1993-04-08"</f>
        <v>1993-04-08</v>
      </c>
      <c r="H575" s="5" t="str">
        <f>"武昌理工学院"</f>
        <v>武昌理工学院</v>
      </c>
    </row>
    <row r="576" s="2" customFormat="1" ht="20" customHeight="1" spans="1:8">
      <c r="A576" s="5">
        <v>574</v>
      </c>
      <c r="B576" s="5" t="str">
        <f>"223220191123152920210399"</f>
        <v>223220191123152920210399</v>
      </c>
      <c r="C576" s="5" t="s">
        <v>35</v>
      </c>
      <c r="D576" s="5" t="s">
        <v>36</v>
      </c>
      <c r="E576" s="5" t="str">
        <f>"何有平"</f>
        <v>何有平</v>
      </c>
      <c r="F576" s="5" t="str">
        <f>"男"</f>
        <v>男</v>
      </c>
      <c r="G576" s="5" t="str">
        <f>"1993-03-22"</f>
        <v>1993-03-22</v>
      </c>
      <c r="H576" s="5" t="str">
        <f>"北华航天工业学院"</f>
        <v>北华航天工业学院</v>
      </c>
    </row>
    <row r="577" s="2" customFormat="1" ht="20" customHeight="1" spans="1:8">
      <c r="A577" s="5">
        <v>575</v>
      </c>
      <c r="B577" s="5" t="str">
        <f>"223220191123153148210401"</f>
        <v>223220191123153148210401</v>
      </c>
      <c r="C577" s="5" t="s">
        <v>35</v>
      </c>
      <c r="D577" s="5" t="s">
        <v>36</v>
      </c>
      <c r="E577" s="5" t="str">
        <f>"严霞"</f>
        <v>严霞</v>
      </c>
      <c r="F577" s="5" t="str">
        <f t="shared" ref="F577:F581" si="159">"女"</f>
        <v>女</v>
      </c>
      <c r="G577" s="5" t="str">
        <f>"1987-05-24"</f>
        <v>1987-05-24</v>
      </c>
      <c r="H577" s="5" t="str">
        <f>"郑州轻工业学院"</f>
        <v>郑州轻工业学院</v>
      </c>
    </row>
    <row r="578" s="2" customFormat="1" ht="20" customHeight="1" spans="1:8">
      <c r="A578" s="5">
        <v>576</v>
      </c>
      <c r="B578" s="5" t="str">
        <f>"223220191123154222210409"</f>
        <v>223220191123154222210409</v>
      </c>
      <c r="C578" s="5" t="s">
        <v>35</v>
      </c>
      <c r="D578" s="5" t="s">
        <v>36</v>
      </c>
      <c r="E578" s="5" t="str">
        <f>"黄蕾"</f>
        <v>黄蕾</v>
      </c>
      <c r="F578" s="5" t="str">
        <f t="shared" si="159"/>
        <v>女</v>
      </c>
      <c r="G578" s="5" t="str">
        <f>"1997-03-15"</f>
        <v>1997-03-15</v>
      </c>
      <c r="H578" s="5" t="str">
        <f>"忻州师范学院"</f>
        <v>忻州师范学院</v>
      </c>
    </row>
    <row r="579" s="2" customFormat="1" ht="20" customHeight="1" spans="1:8">
      <c r="A579" s="5">
        <v>577</v>
      </c>
      <c r="B579" s="5" t="str">
        <f>"223220191123192646210576"</f>
        <v>223220191123192646210576</v>
      </c>
      <c r="C579" s="5" t="s">
        <v>35</v>
      </c>
      <c r="D579" s="5" t="s">
        <v>36</v>
      </c>
      <c r="E579" s="5" t="str">
        <f>"孙考业"</f>
        <v>孙考业</v>
      </c>
      <c r="F579" s="5" t="str">
        <f t="shared" ref="F579:F582" si="160">"男"</f>
        <v>男</v>
      </c>
      <c r="G579" s="5" t="str">
        <f>"1992-08-15"</f>
        <v>1992-08-15</v>
      </c>
      <c r="H579" s="5" t="str">
        <f>"上饶师范学院"</f>
        <v>上饶师范学院</v>
      </c>
    </row>
    <row r="580" s="2" customFormat="1" ht="20" customHeight="1" spans="1:8">
      <c r="A580" s="5">
        <v>578</v>
      </c>
      <c r="B580" s="5" t="str">
        <f>"223220191123193108210578"</f>
        <v>223220191123193108210578</v>
      </c>
      <c r="C580" s="5" t="s">
        <v>35</v>
      </c>
      <c r="D580" s="5" t="s">
        <v>36</v>
      </c>
      <c r="E580" s="5" t="str">
        <f>"郑耀玺"</f>
        <v>郑耀玺</v>
      </c>
      <c r="F580" s="5" t="str">
        <f t="shared" si="160"/>
        <v>男</v>
      </c>
      <c r="G580" s="5" t="str">
        <f>"1995-07-14"</f>
        <v>1995-07-14</v>
      </c>
      <c r="H580" s="5" t="str">
        <f>"西京学院"</f>
        <v>西京学院</v>
      </c>
    </row>
    <row r="581" s="2" customFormat="1" ht="20" customHeight="1" spans="1:8">
      <c r="A581" s="5">
        <v>579</v>
      </c>
      <c r="B581" s="5" t="str">
        <f>"223220191123194344210586"</f>
        <v>223220191123194344210586</v>
      </c>
      <c r="C581" s="5" t="s">
        <v>35</v>
      </c>
      <c r="D581" s="5" t="s">
        <v>36</v>
      </c>
      <c r="E581" s="5" t="str">
        <f>"符多妃"</f>
        <v>符多妃</v>
      </c>
      <c r="F581" s="5" t="str">
        <f>"女"</f>
        <v>女</v>
      </c>
      <c r="G581" s="5" t="str">
        <f>"1993-10-21"</f>
        <v>1993-10-21</v>
      </c>
      <c r="H581" s="5" t="str">
        <f>"长春工业大学人文信息学院"</f>
        <v>长春工业大学人文信息学院</v>
      </c>
    </row>
    <row r="582" s="2" customFormat="1" ht="20" customHeight="1" spans="1:8">
      <c r="A582" s="5">
        <v>580</v>
      </c>
      <c r="B582" s="5" t="str">
        <f>"223220191123204537210643"</f>
        <v>223220191123204537210643</v>
      </c>
      <c r="C582" s="5" t="s">
        <v>35</v>
      </c>
      <c r="D582" s="5" t="s">
        <v>36</v>
      </c>
      <c r="E582" s="5" t="str">
        <f>"陈振豪"</f>
        <v>陈振豪</v>
      </c>
      <c r="F582" s="5" t="str">
        <f>"男"</f>
        <v>男</v>
      </c>
      <c r="G582" s="5" t="str">
        <f>"1997-10-16"</f>
        <v>1997-10-16</v>
      </c>
      <c r="H582" s="5" t="str">
        <f>"上海建桥学院"</f>
        <v>上海建桥学院</v>
      </c>
    </row>
    <row r="583" s="2" customFormat="1" ht="20" customHeight="1" spans="1:8">
      <c r="A583" s="5">
        <v>581</v>
      </c>
      <c r="B583" s="5" t="str">
        <f>"223220191123212924210672"</f>
        <v>223220191123212924210672</v>
      </c>
      <c r="C583" s="5" t="s">
        <v>35</v>
      </c>
      <c r="D583" s="5" t="s">
        <v>36</v>
      </c>
      <c r="E583" s="5" t="str">
        <f>"符彩燕"</f>
        <v>符彩燕</v>
      </c>
      <c r="F583" s="5" t="str">
        <f t="shared" ref="F583:F588" si="161">"女"</f>
        <v>女</v>
      </c>
      <c r="G583" s="5" t="str">
        <f>"1994-06-06"</f>
        <v>1994-06-06</v>
      </c>
      <c r="H583" s="5" t="str">
        <f>"海南师范大学"</f>
        <v>海南师范大学</v>
      </c>
    </row>
    <row r="584" s="2" customFormat="1" ht="20" customHeight="1" spans="1:8">
      <c r="A584" s="5">
        <v>582</v>
      </c>
      <c r="B584" s="5" t="str">
        <f>"223220191123224417210711"</f>
        <v>223220191123224417210711</v>
      </c>
      <c r="C584" s="5" t="s">
        <v>35</v>
      </c>
      <c r="D584" s="5" t="s">
        <v>36</v>
      </c>
      <c r="E584" s="5" t="str">
        <f>"王文文"</f>
        <v>王文文</v>
      </c>
      <c r="F584" s="5" t="str">
        <f t="shared" si="161"/>
        <v>女</v>
      </c>
      <c r="G584" s="5" t="str">
        <f>"1992-10-03"</f>
        <v>1992-10-03</v>
      </c>
      <c r="H584" s="5" t="str">
        <f>"河北北方学院"</f>
        <v>河北北方学院</v>
      </c>
    </row>
    <row r="585" s="2" customFormat="1" ht="20" customHeight="1" spans="1:8">
      <c r="A585" s="5">
        <v>583</v>
      </c>
      <c r="B585" s="5" t="str">
        <f>"223220191123231600210732"</f>
        <v>223220191123231600210732</v>
      </c>
      <c r="C585" s="5" t="s">
        <v>35</v>
      </c>
      <c r="D585" s="5" t="s">
        <v>36</v>
      </c>
      <c r="E585" s="5" t="str">
        <f>"麦精武"</f>
        <v>麦精武</v>
      </c>
      <c r="F585" s="5" t="str">
        <f t="shared" ref="F585:F587" si="162">"男"</f>
        <v>男</v>
      </c>
      <c r="G585" s="5" t="str">
        <f>"1993-12-01"</f>
        <v>1993-12-01</v>
      </c>
      <c r="H585" s="5" t="str">
        <f>"大连东软信息学院"</f>
        <v>大连东软信息学院</v>
      </c>
    </row>
    <row r="586" s="2" customFormat="1" ht="20" customHeight="1" spans="1:8">
      <c r="A586" s="5">
        <v>584</v>
      </c>
      <c r="B586" s="5" t="str">
        <f>"223220191124082011210769"</f>
        <v>223220191124082011210769</v>
      </c>
      <c r="C586" s="5" t="s">
        <v>35</v>
      </c>
      <c r="D586" s="5" t="s">
        <v>36</v>
      </c>
      <c r="E586" s="5" t="str">
        <f>"林日东"</f>
        <v>林日东</v>
      </c>
      <c r="F586" s="5" t="str">
        <f t="shared" si="162"/>
        <v>男</v>
      </c>
      <c r="G586" s="5" t="str">
        <f>"1994-04-07"</f>
        <v>1994-04-07</v>
      </c>
      <c r="H586" s="5" t="str">
        <f>"辽宁对外经贸学院"</f>
        <v>辽宁对外经贸学院</v>
      </c>
    </row>
    <row r="587" s="2" customFormat="1" ht="20" customHeight="1" spans="1:8">
      <c r="A587" s="5">
        <v>585</v>
      </c>
      <c r="B587" s="5" t="str">
        <f>"223220191124102111210825"</f>
        <v>223220191124102111210825</v>
      </c>
      <c r="C587" s="5" t="s">
        <v>35</v>
      </c>
      <c r="D587" s="5" t="s">
        <v>36</v>
      </c>
      <c r="E587" s="5" t="str">
        <f>"李衍瑞"</f>
        <v>李衍瑞</v>
      </c>
      <c r="F587" s="5" t="str">
        <f t="shared" si="162"/>
        <v>男</v>
      </c>
      <c r="G587" s="5" t="str">
        <f>"1992-07-08"</f>
        <v>1992-07-08</v>
      </c>
      <c r="H587" s="5" t="str">
        <f>"重庆工商大学"</f>
        <v>重庆工商大学</v>
      </c>
    </row>
    <row r="588" s="2" customFormat="1" ht="20" customHeight="1" spans="1:8">
      <c r="A588" s="5">
        <v>586</v>
      </c>
      <c r="B588" s="5" t="str">
        <f>"223220191124102754210831"</f>
        <v>223220191124102754210831</v>
      </c>
      <c r="C588" s="5" t="s">
        <v>35</v>
      </c>
      <c r="D588" s="5" t="s">
        <v>36</v>
      </c>
      <c r="E588" s="5" t="str">
        <f>"林鸿蓉"</f>
        <v>林鸿蓉</v>
      </c>
      <c r="F588" s="5" t="str">
        <f>"女"</f>
        <v>女</v>
      </c>
      <c r="G588" s="5" t="str">
        <f>"1993-05-19"</f>
        <v>1993-05-19</v>
      </c>
      <c r="H588" s="5" t="str">
        <f>"安阳工学院"</f>
        <v>安阳工学院</v>
      </c>
    </row>
    <row r="589" s="2" customFormat="1" ht="20" customHeight="1" spans="1:8">
      <c r="A589" s="5">
        <v>587</v>
      </c>
      <c r="B589" s="5" t="str">
        <f>"223220191124103034210834"</f>
        <v>223220191124103034210834</v>
      </c>
      <c r="C589" s="5" t="s">
        <v>35</v>
      </c>
      <c r="D589" s="5" t="s">
        <v>36</v>
      </c>
      <c r="E589" s="5" t="str">
        <f>"林晶"</f>
        <v>林晶</v>
      </c>
      <c r="F589" s="5" t="str">
        <f t="shared" ref="F589:F593" si="163">"男"</f>
        <v>男</v>
      </c>
      <c r="G589" s="5" t="str">
        <f>"1994-12-17"</f>
        <v>1994-12-17</v>
      </c>
      <c r="H589" s="5" t="str">
        <f>"华南农业大学"</f>
        <v>华南农业大学</v>
      </c>
    </row>
    <row r="590" s="2" customFormat="1" ht="20" customHeight="1" spans="1:8">
      <c r="A590" s="5">
        <v>588</v>
      </c>
      <c r="B590" s="5" t="str">
        <f>"223220191124103703210843"</f>
        <v>223220191124103703210843</v>
      </c>
      <c r="C590" s="5" t="s">
        <v>35</v>
      </c>
      <c r="D590" s="5" t="s">
        <v>36</v>
      </c>
      <c r="E590" s="5" t="str">
        <f>"赵显育"</f>
        <v>赵显育</v>
      </c>
      <c r="F590" s="5" t="str">
        <f t="shared" si="163"/>
        <v>男</v>
      </c>
      <c r="G590" s="5" t="str">
        <f>"1998-12-09"</f>
        <v>1998-12-09</v>
      </c>
      <c r="H590" s="5" t="str">
        <f>"湖南工业大学"</f>
        <v>湖南工业大学</v>
      </c>
    </row>
    <row r="591" s="2" customFormat="1" ht="20" customHeight="1" spans="1:8">
      <c r="A591" s="5">
        <v>589</v>
      </c>
      <c r="B591" s="5" t="str">
        <f>"223220191124104550210855"</f>
        <v>223220191124104550210855</v>
      </c>
      <c r="C591" s="5" t="s">
        <v>35</v>
      </c>
      <c r="D591" s="5" t="s">
        <v>36</v>
      </c>
      <c r="E591" s="5" t="str">
        <f>"陈桂玲"</f>
        <v>陈桂玲</v>
      </c>
      <c r="F591" s="5" t="str">
        <f>"女"</f>
        <v>女</v>
      </c>
      <c r="G591" s="5" t="str">
        <f>"1994-04-13"</f>
        <v>1994-04-13</v>
      </c>
      <c r="H591" s="5" t="str">
        <f>"辽宁财贸学院"</f>
        <v>辽宁财贸学院</v>
      </c>
    </row>
    <row r="592" s="2" customFormat="1" ht="20" customHeight="1" spans="1:8">
      <c r="A592" s="5">
        <v>590</v>
      </c>
      <c r="B592" s="5" t="str">
        <f>"223220191124132111211018"</f>
        <v>223220191124132111211018</v>
      </c>
      <c r="C592" s="5" t="s">
        <v>35</v>
      </c>
      <c r="D592" s="5" t="s">
        <v>36</v>
      </c>
      <c r="E592" s="5" t="str">
        <f>"钟有善"</f>
        <v>钟有善</v>
      </c>
      <c r="F592" s="5" t="str">
        <f>"男"</f>
        <v>男</v>
      </c>
      <c r="G592" s="5" t="str">
        <f>"1988-02-17"</f>
        <v>1988-02-17</v>
      </c>
      <c r="H592" s="5" t="str">
        <f>"海南师范大学"</f>
        <v>海南师范大学</v>
      </c>
    </row>
    <row r="593" s="2" customFormat="1" ht="20" customHeight="1" spans="1:8">
      <c r="A593" s="5">
        <v>591</v>
      </c>
      <c r="B593" s="5" t="str">
        <f>"223220191124150712211099"</f>
        <v>223220191124150712211099</v>
      </c>
      <c r="C593" s="5" t="s">
        <v>35</v>
      </c>
      <c r="D593" s="5" t="s">
        <v>36</v>
      </c>
      <c r="E593" s="5" t="str">
        <f>"黎天合"</f>
        <v>黎天合</v>
      </c>
      <c r="F593" s="5" t="str">
        <f>"男"</f>
        <v>男</v>
      </c>
      <c r="G593" s="5" t="str">
        <f>"1991-11-04"</f>
        <v>1991-11-04</v>
      </c>
      <c r="H593" s="5" t="str">
        <f>"石河子大学"</f>
        <v>石河子大学</v>
      </c>
    </row>
    <row r="594" s="2" customFormat="1" ht="20" customHeight="1" spans="1:8">
      <c r="A594" s="5">
        <v>592</v>
      </c>
      <c r="B594" s="5" t="str">
        <f>"223220191124152022211105"</f>
        <v>223220191124152022211105</v>
      </c>
      <c r="C594" s="5" t="s">
        <v>35</v>
      </c>
      <c r="D594" s="5" t="s">
        <v>36</v>
      </c>
      <c r="E594" s="5" t="str">
        <f>"刘桃育"</f>
        <v>刘桃育</v>
      </c>
      <c r="F594" s="5" t="str">
        <f>"女"</f>
        <v>女</v>
      </c>
      <c r="G594" s="5" t="str">
        <f>"1992-11-10"</f>
        <v>1992-11-10</v>
      </c>
      <c r="H594" s="5" t="str">
        <f>"云南大学旅游文化学院"</f>
        <v>云南大学旅游文化学院</v>
      </c>
    </row>
    <row r="595" s="2" customFormat="1" ht="20" customHeight="1" spans="1:8">
      <c r="A595" s="5">
        <v>593</v>
      </c>
      <c r="B595" s="5" t="str">
        <f>"223220191124155021211125"</f>
        <v>223220191124155021211125</v>
      </c>
      <c r="C595" s="5" t="s">
        <v>35</v>
      </c>
      <c r="D595" s="5" t="s">
        <v>36</v>
      </c>
      <c r="E595" s="5" t="str">
        <f>"余可旺"</f>
        <v>余可旺</v>
      </c>
      <c r="F595" s="5" t="str">
        <f t="shared" ref="F595:F598" si="164">"男"</f>
        <v>男</v>
      </c>
      <c r="G595" s="5" t="str">
        <f>"1980-10-20"</f>
        <v>1980-10-20</v>
      </c>
      <c r="H595" s="5" t="str">
        <f>"国家开放大学"</f>
        <v>国家开放大学</v>
      </c>
    </row>
    <row r="596" s="2" customFormat="1" ht="20" customHeight="1" spans="1:8">
      <c r="A596" s="5">
        <v>594</v>
      </c>
      <c r="B596" s="5" t="str">
        <f>"223220191124161313211137"</f>
        <v>223220191124161313211137</v>
      </c>
      <c r="C596" s="5" t="s">
        <v>35</v>
      </c>
      <c r="D596" s="5" t="s">
        <v>36</v>
      </c>
      <c r="E596" s="5" t="str">
        <f>"牛立峰"</f>
        <v>牛立峰</v>
      </c>
      <c r="F596" s="5" t="str">
        <f t="shared" si="164"/>
        <v>男</v>
      </c>
      <c r="G596" s="5" t="str">
        <f>"1993-12-31"</f>
        <v>1993-12-31</v>
      </c>
      <c r="H596" s="5" t="str">
        <f>"吉林建筑大学"</f>
        <v>吉林建筑大学</v>
      </c>
    </row>
    <row r="597" s="2" customFormat="1" ht="20" customHeight="1" spans="1:8">
      <c r="A597" s="5">
        <v>595</v>
      </c>
      <c r="B597" s="5" t="str">
        <f>"223220191124163852211159"</f>
        <v>223220191124163852211159</v>
      </c>
      <c r="C597" s="5" t="s">
        <v>35</v>
      </c>
      <c r="D597" s="5" t="s">
        <v>36</v>
      </c>
      <c r="E597" s="5" t="str">
        <f>"何永彪"</f>
        <v>何永彪</v>
      </c>
      <c r="F597" s="5" t="str">
        <f t="shared" si="164"/>
        <v>男</v>
      </c>
      <c r="G597" s="5" t="str">
        <f>"1996-10-02"</f>
        <v>1996-10-02</v>
      </c>
      <c r="H597" s="5" t="str">
        <f>"南昌大学共青学院"</f>
        <v>南昌大学共青学院</v>
      </c>
    </row>
    <row r="598" s="2" customFormat="1" ht="20" customHeight="1" spans="1:8">
      <c r="A598" s="5">
        <v>596</v>
      </c>
      <c r="B598" s="5" t="str">
        <f>"223220191124172839211187"</f>
        <v>223220191124172839211187</v>
      </c>
      <c r="C598" s="5" t="s">
        <v>35</v>
      </c>
      <c r="D598" s="5" t="s">
        <v>36</v>
      </c>
      <c r="E598" s="5" t="str">
        <f>"李毅清"</f>
        <v>李毅清</v>
      </c>
      <c r="F598" s="5" t="str">
        <f t="shared" si="164"/>
        <v>男</v>
      </c>
      <c r="G598" s="5" t="str">
        <f>"1996-10-13"</f>
        <v>1996-10-13</v>
      </c>
      <c r="H598" s="5" t="str">
        <f>"哈尔滨石油学院"</f>
        <v>哈尔滨石油学院</v>
      </c>
    </row>
    <row r="599" s="2" customFormat="1" ht="20" customHeight="1" spans="1:8">
      <c r="A599" s="5">
        <v>597</v>
      </c>
      <c r="B599" s="5" t="str">
        <f>"223220191124175952211208"</f>
        <v>223220191124175952211208</v>
      </c>
      <c r="C599" s="5" t="s">
        <v>35</v>
      </c>
      <c r="D599" s="5" t="s">
        <v>36</v>
      </c>
      <c r="E599" s="5" t="str">
        <f>"唐可颖"</f>
        <v>唐可颖</v>
      </c>
      <c r="F599" s="5" t="str">
        <f t="shared" ref="F599:F605" si="165">"女"</f>
        <v>女</v>
      </c>
      <c r="G599" s="5" t="str">
        <f>"1995-02-05"</f>
        <v>1995-02-05</v>
      </c>
      <c r="H599" s="5" t="str">
        <f>"海南大学"</f>
        <v>海南大学</v>
      </c>
    </row>
    <row r="600" s="2" customFormat="1" ht="20" customHeight="1" spans="1:8">
      <c r="A600" s="5">
        <v>598</v>
      </c>
      <c r="B600" s="5" t="str">
        <f>"223220191124181027211215"</f>
        <v>223220191124181027211215</v>
      </c>
      <c r="C600" s="5" t="s">
        <v>35</v>
      </c>
      <c r="D600" s="5" t="s">
        <v>36</v>
      </c>
      <c r="E600" s="5" t="str">
        <f>"李平秀"</f>
        <v>李平秀</v>
      </c>
      <c r="F600" s="5" t="str">
        <f t="shared" ref="F600:F603" si="166">"男"</f>
        <v>男</v>
      </c>
      <c r="G600" s="5" t="str">
        <f>"1992-08-09"</f>
        <v>1992-08-09</v>
      </c>
      <c r="H600" s="5" t="str">
        <f>"华北理工大学"</f>
        <v>华北理工大学</v>
      </c>
    </row>
    <row r="601" s="2" customFormat="1" ht="20" customHeight="1" spans="1:8">
      <c r="A601" s="5">
        <v>599</v>
      </c>
      <c r="B601" s="5" t="str">
        <f>"223220191124195719211303"</f>
        <v>223220191124195719211303</v>
      </c>
      <c r="C601" s="5" t="s">
        <v>35</v>
      </c>
      <c r="D601" s="5" t="s">
        <v>36</v>
      </c>
      <c r="E601" s="5" t="str">
        <f>"羊群"</f>
        <v>羊群</v>
      </c>
      <c r="F601" s="5" t="str">
        <f t="shared" si="166"/>
        <v>男</v>
      </c>
      <c r="G601" s="5" t="str">
        <f>"1994-08-29"</f>
        <v>1994-08-29</v>
      </c>
      <c r="H601" s="5" t="str">
        <f>"海南政法职业学院"</f>
        <v>海南政法职业学院</v>
      </c>
    </row>
    <row r="602" s="2" customFormat="1" ht="20" customHeight="1" spans="1:8">
      <c r="A602" s="5">
        <v>600</v>
      </c>
      <c r="B602" s="5" t="str">
        <f>"223220191124202738211330"</f>
        <v>223220191124202738211330</v>
      </c>
      <c r="C602" s="5" t="s">
        <v>35</v>
      </c>
      <c r="D602" s="5" t="s">
        <v>36</v>
      </c>
      <c r="E602" s="5" t="str">
        <f>"邹文婷"</f>
        <v>邹文婷</v>
      </c>
      <c r="F602" s="5" t="str">
        <f t="shared" ref="F602:F605" si="167">"女"</f>
        <v>女</v>
      </c>
      <c r="G602" s="5" t="str">
        <f>"1987-05-18"</f>
        <v>1987-05-18</v>
      </c>
      <c r="H602" s="5" t="str">
        <f>"长春师范学院"</f>
        <v>长春师范学院</v>
      </c>
    </row>
    <row r="603" s="2" customFormat="1" ht="20" customHeight="1" spans="1:8">
      <c r="A603" s="5">
        <v>601</v>
      </c>
      <c r="B603" s="5" t="str">
        <f>"223220191124210328211367"</f>
        <v>223220191124210328211367</v>
      </c>
      <c r="C603" s="5" t="s">
        <v>35</v>
      </c>
      <c r="D603" s="5" t="s">
        <v>36</v>
      </c>
      <c r="E603" s="5" t="str">
        <f>"何步刚 "</f>
        <v>何步刚 </v>
      </c>
      <c r="F603" s="5" t="str">
        <f>"男"</f>
        <v>男</v>
      </c>
      <c r="G603" s="5" t="str">
        <f>"1993-08-22"</f>
        <v>1993-08-22</v>
      </c>
      <c r="H603" s="5" t="str">
        <f>"兰州理工大学"</f>
        <v>兰州理工大学</v>
      </c>
    </row>
    <row r="604" s="2" customFormat="1" ht="20" customHeight="1" spans="1:8">
      <c r="A604" s="5">
        <v>602</v>
      </c>
      <c r="B604" s="5" t="str">
        <f>"223220191124211116211378"</f>
        <v>223220191124211116211378</v>
      </c>
      <c r="C604" s="5" t="s">
        <v>35</v>
      </c>
      <c r="D604" s="5" t="s">
        <v>36</v>
      </c>
      <c r="E604" s="5" t="str">
        <f>"林有芬"</f>
        <v>林有芬</v>
      </c>
      <c r="F604" s="5" t="str">
        <f>"女"</f>
        <v>女</v>
      </c>
      <c r="G604" s="5" t="str">
        <f>"1996-06-15"</f>
        <v>1996-06-15</v>
      </c>
      <c r="H604" s="5" t="str">
        <f>"信阳学院"</f>
        <v>信阳学院</v>
      </c>
    </row>
    <row r="605" s="2" customFormat="1" ht="20" customHeight="1" spans="1:8">
      <c r="A605" s="5">
        <v>603</v>
      </c>
      <c r="B605" s="5" t="str">
        <f>"223220191124223544211443"</f>
        <v>223220191124223544211443</v>
      </c>
      <c r="C605" s="5" t="s">
        <v>35</v>
      </c>
      <c r="D605" s="5" t="s">
        <v>36</v>
      </c>
      <c r="E605" s="5" t="str">
        <f>"许莉莉"</f>
        <v>许莉莉</v>
      </c>
      <c r="F605" s="5" t="str">
        <f>"女"</f>
        <v>女</v>
      </c>
      <c r="G605" s="5" t="str">
        <f>"1994-01-28"</f>
        <v>1994-01-28</v>
      </c>
      <c r="H605" s="5" t="str">
        <f>"贵州师范学院"</f>
        <v>贵州师范学院</v>
      </c>
    </row>
    <row r="606" s="2" customFormat="1" ht="20" customHeight="1" spans="1:8">
      <c r="A606" s="5">
        <v>604</v>
      </c>
      <c r="B606" s="5" t="str">
        <f>"223220191124231927211469"</f>
        <v>223220191124231927211469</v>
      </c>
      <c r="C606" s="5" t="s">
        <v>35</v>
      </c>
      <c r="D606" s="5" t="s">
        <v>36</v>
      </c>
      <c r="E606" s="5" t="str">
        <f>"张大卫"</f>
        <v>张大卫</v>
      </c>
      <c r="F606" s="5" t="str">
        <f t="shared" ref="F606:F611" si="168">"男"</f>
        <v>男</v>
      </c>
      <c r="G606" s="5" t="str">
        <f>"1995-09-28"</f>
        <v>1995-09-28</v>
      </c>
      <c r="H606" s="5" t="str">
        <f>"海口经济学院"</f>
        <v>海口经济学院</v>
      </c>
    </row>
    <row r="607" s="2" customFormat="1" ht="20" customHeight="1" spans="1:8">
      <c r="A607" s="5">
        <v>605</v>
      </c>
      <c r="B607" s="5" t="str">
        <f>"223220191125003119211488"</f>
        <v>223220191125003119211488</v>
      </c>
      <c r="C607" s="5" t="s">
        <v>35</v>
      </c>
      <c r="D607" s="5" t="s">
        <v>36</v>
      </c>
      <c r="E607" s="5" t="str">
        <f>"王开民"</f>
        <v>王开民</v>
      </c>
      <c r="F607" s="5" t="str">
        <f t="shared" si="168"/>
        <v>男</v>
      </c>
      <c r="G607" s="5" t="str">
        <f>"1990-05-26"</f>
        <v>1990-05-26</v>
      </c>
      <c r="H607" s="5" t="str">
        <f>"沈阳师范大学"</f>
        <v>沈阳师范大学</v>
      </c>
    </row>
    <row r="608" s="2" customFormat="1" ht="20" customHeight="1" spans="1:8">
      <c r="A608" s="5">
        <v>606</v>
      </c>
      <c r="B608" s="5" t="str">
        <f>"223220191125083220211531"</f>
        <v>223220191125083220211531</v>
      </c>
      <c r="C608" s="5" t="s">
        <v>35</v>
      </c>
      <c r="D608" s="5" t="s">
        <v>36</v>
      </c>
      <c r="E608" s="5" t="str">
        <f>"吴贵美"</f>
        <v>吴贵美</v>
      </c>
      <c r="F608" s="5" t="str">
        <f>"女"</f>
        <v>女</v>
      </c>
      <c r="G608" s="5" t="str">
        <f>"1991-08-27"</f>
        <v>1991-08-27</v>
      </c>
      <c r="H608" s="5" t="str">
        <f>"南阳师范学院"</f>
        <v>南阳师范学院</v>
      </c>
    </row>
    <row r="609" s="2" customFormat="1" ht="20" customHeight="1" spans="1:8">
      <c r="A609" s="5">
        <v>607</v>
      </c>
      <c r="B609" s="5" t="str">
        <f>"223220191125090356211595"</f>
        <v>223220191125090356211595</v>
      </c>
      <c r="C609" s="5" t="s">
        <v>35</v>
      </c>
      <c r="D609" s="5" t="s">
        <v>36</v>
      </c>
      <c r="E609" s="5" t="str">
        <f>"林冠丽"</f>
        <v>林冠丽</v>
      </c>
      <c r="F609" s="5" t="str">
        <f>"女"</f>
        <v>女</v>
      </c>
      <c r="G609" s="5" t="str">
        <f>"1992-08-04"</f>
        <v>1992-08-04</v>
      </c>
      <c r="H609" s="5" t="str">
        <f>"海南师范大学"</f>
        <v>海南师范大学</v>
      </c>
    </row>
    <row r="610" s="2" customFormat="1" ht="20" customHeight="1" spans="1:8">
      <c r="A610" s="5">
        <v>608</v>
      </c>
      <c r="B610" s="5" t="str">
        <f>"223220191125090656211602"</f>
        <v>223220191125090656211602</v>
      </c>
      <c r="C610" s="5" t="s">
        <v>35</v>
      </c>
      <c r="D610" s="5" t="s">
        <v>36</v>
      </c>
      <c r="E610" s="5" t="str">
        <f>"薛万珠"</f>
        <v>薛万珠</v>
      </c>
      <c r="F610" s="5" t="str">
        <f>"男"</f>
        <v>男</v>
      </c>
      <c r="G610" s="5" t="str">
        <f>"1994-06-08"</f>
        <v>1994-06-08</v>
      </c>
      <c r="H610" s="5" t="str">
        <f>"烟台大学"</f>
        <v>烟台大学</v>
      </c>
    </row>
    <row r="611" s="2" customFormat="1" ht="20" customHeight="1" spans="1:8">
      <c r="A611" s="5">
        <v>609</v>
      </c>
      <c r="B611" s="5" t="str">
        <f>"223220191125090715211603"</f>
        <v>223220191125090715211603</v>
      </c>
      <c r="C611" s="5" t="s">
        <v>35</v>
      </c>
      <c r="D611" s="5" t="s">
        <v>36</v>
      </c>
      <c r="E611" s="5" t="str">
        <f>"陆发扬"</f>
        <v>陆发扬</v>
      </c>
      <c r="F611" s="5" t="str">
        <f>"男"</f>
        <v>男</v>
      </c>
      <c r="G611" s="5" t="str">
        <f>"1993-02-21"</f>
        <v>1993-02-21</v>
      </c>
      <c r="H611" s="5" t="str">
        <f>"内蒙古科技大学"</f>
        <v>内蒙古科技大学</v>
      </c>
    </row>
    <row r="612" s="2" customFormat="1" ht="20" customHeight="1" spans="1:8">
      <c r="A612" s="5">
        <v>610</v>
      </c>
      <c r="B612" s="5" t="str">
        <f>"223220191125090818211606"</f>
        <v>223220191125090818211606</v>
      </c>
      <c r="C612" s="5" t="s">
        <v>35</v>
      </c>
      <c r="D612" s="5" t="s">
        <v>36</v>
      </c>
      <c r="E612" s="5" t="str">
        <f>"羊二桃"</f>
        <v>羊二桃</v>
      </c>
      <c r="F612" s="5" t="str">
        <f t="shared" ref="F612:F618" si="169">"女"</f>
        <v>女</v>
      </c>
      <c r="G612" s="5" t="str">
        <f>"1992-01-14"</f>
        <v>1992-01-14</v>
      </c>
      <c r="H612" s="5" t="str">
        <f>"北方民族大学"</f>
        <v>北方民族大学</v>
      </c>
    </row>
    <row r="613" s="2" customFormat="1" ht="20" customHeight="1" spans="1:8">
      <c r="A613" s="5">
        <v>611</v>
      </c>
      <c r="B613" s="5" t="str">
        <f>"223220191125091821211625"</f>
        <v>223220191125091821211625</v>
      </c>
      <c r="C613" s="5" t="s">
        <v>35</v>
      </c>
      <c r="D613" s="5" t="s">
        <v>36</v>
      </c>
      <c r="E613" s="5" t="str">
        <f>"朱巽凤"</f>
        <v>朱巽凤</v>
      </c>
      <c r="F613" s="5" t="str">
        <f t="shared" si="169"/>
        <v>女</v>
      </c>
      <c r="G613" s="5" t="str">
        <f>"1995-02-25"</f>
        <v>1995-02-25</v>
      </c>
      <c r="H613" s="5" t="str">
        <f>"玉林师范学院"</f>
        <v>玉林师范学院</v>
      </c>
    </row>
    <row r="614" s="2" customFormat="1" ht="20" customHeight="1" spans="1:8">
      <c r="A614" s="5">
        <v>612</v>
      </c>
      <c r="B614" s="5" t="str">
        <f>"223220191125093354211662"</f>
        <v>223220191125093354211662</v>
      </c>
      <c r="C614" s="5" t="s">
        <v>35</v>
      </c>
      <c r="D614" s="5" t="s">
        <v>36</v>
      </c>
      <c r="E614" s="5" t="str">
        <f>"赵月益"</f>
        <v>赵月益</v>
      </c>
      <c r="F614" s="5" t="str">
        <f t="shared" si="169"/>
        <v>女</v>
      </c>
      <c r="G614" s="5" t="str">
        <f>"1997-02-10"</f>
        <v>1997-02-10</v>
      </c>
      <c r="H614" s="5" t="str">
        <f>"海口经济学院"</f>
        <v>海口经济学院</v>
      </c>
    </row>
    <row r="615" s="2" customFormat="1" ht="20" customHeight="1" spans="1:8">
      <c r="A615" s="5">
        <v>613</v>
      </c>
      <c r="B615" s="5" t="str">
        <f>"223220191125095921211717"</f>
        <v>223220191125095921211717</v>
      </c>
      <c r="C615" s="5" t="s">
        <v>35</v>
      </c>
      <c r="D615" s="5" t="s">
        <v>36</v>
      </c>
      <c r="E615" s="5" t="str">
        <f>"刘英"</f>
        <v>刘英</v>
      </c>
      <c r="F615" s="5" t="str">
        <f t="shared" si="169"/>
        <v>女</v>
      </c>
      <c r="G615" s="5" t="str">
        <f>"1989-06-12"</f>
        <v>1989-06-12</v>
      </c>
      <c r="H615" s="5" t="str">
        <f>"湖南农业大学"</f>
        <v>湖南农业大学</v>
      </c>
    </row>
    <row r="616" s="2" customFormat="1" ht="20" customHeight="1" spans="1:8">
      <c r="A616" s="5">
        <v>614</v>
      </c>
      <c r="B616" s="5" t="str">
        <f>"223220191125102152211761"</f>
        <v>223220191125102152211761</v>
      </c>
      <c r="C616" s="5" t="s">
        <v>35</v>
      </c>
      <c r="D616" s="5" t="s">
        <v>36</v>
      </c>
      <c r="E616" s="5" t="str">
        <f>"符克真"</f>
        <v>符克真</v>
      </c>
      <c r="F616" s="5" t="str">
        <f t="shared" si="169"/>
        <v>女</v>
      </c>
      <c r="G616" s="5" t="str">
        <f>"1992-08-04"</f>
        <v>1992-08-04</v>
      </c>
      <c r="H616" s="5" t="str">
        <f>"海南师范大学"</f>
        <v>海南师范大学</v>
      </c>
    </row>
    <row r="617" s="2" customFormat="1" ht="20" customHeight="1" spans="1:8">
      <c r="A617" s="5">
        <v>615</v>
      </c>
      <c r="B617" s="5" t="str">
        <f>"223220191125102615211770"</f>
        <v>223220191125102615211770</v>
      </c>
      <c r="C617" s="5" t="s">
        <v>35</v>
      </c>
      <c r="D617" s="5" t="s">
        <v>36</v>
      </c>
      <c r="E617" s="5" t="str">
        <f>"符玉珍"</f>
        <v>符玉珍</v>
      </c>
      <c r="F617" s="5" t="str">
        <f t="shared" si="169"/>
        <v>女</v>
      </c>
      <c r="G617" s="5" t="str">
        <f>"1993-04-12"</f>
        <v>1993-04-12</v>
      </c>
      <c r="H617" s="5" t="str">
        <f>"三明学院"</f>
        <v>三明学院</v>
      </c>
    </row>
    <row r="618" s="2" customFormat="1" ht="20" customHeight="1" spans="1:8">
      <c r="A618" s="5">
        <v>616</v>
      </c>
      <c r="B618" s="5" t="str">
        <f>"223220191125102819211774"</f>
        <v>223220191125102819211774</v>
      </c>
      <c r="C618" s="5" t="s">
        <v>35</v>
      </c>
      <c r="D618" s="5" t="s">
        <v>36</v>
      </c>
      <c r="E618" s="5" t="str">
        <f>"许世桃"</f>
        <v>许世桃</v>
      </c>
      <c r="F618" s="5" t="str">
        <f t="shared" si="169"/>
        <v>女</v>
      </c>
      <c r="G618" s="5" t="str">
        <f>"1995-11-22"</f>
        <v>1995-11-22</v>
      </c>
      <c r="H618" s="5" t="str">
        <f>"海南热带海洋学院"</f>
        <v>海南热带海洋学院</v>
      </c>
    </row>
    <row r="619" s="2" customFormat="1" ht="20" customHeight="1" spans="1:8">
      <c r="A619" s="5">
        <v>617</v>
      </c>
      <c r="B619" s="5" t="str">
        <f>"223220191125105416211822"</f>
        <v>223220191125105416211822</v>
      </c>
      <c r="C619" s="5" t="s">
        <v>35</v>
      </c>
      <c r="D619" s="5" t="s">
        <v>36</v>
      </c>
      <c r="E619" s="5" t="str">
        <f>"何永怀"</f>
        <v>何永怀</v>
      </c>
      <c r="F619" s="5" t="str">
        <f>"男"</f>
        <v>男</v>
      </c>
      <c r="G619" s="5" t="str">
        <f>"1994-11-06"</f>
        <v>1994-11-06</v>
      </c>
      <c r="H619" s="5" t="str">
        <f>"河南科技大学"</f>
        <v>河南科技大学</v>
      </c>
    </row>
    <row r="620" s="2" customFormat="1" ht="20" customHeight="1" spans="1:8">
      <c r="A620" s="5">
        <v>618</v>
      </c>
      <c r="B620" s="5" t="str">
        <f>"223220191125105719211827"</f>
        <v>223220191125105719211827</v>
      </c>
      <c r="C620" s="5" t="s">
        <v>35</v>
      </c>
      <c r="D620" s="5" t="s">
        <v>36</v>
      </c>
      <c r="E620" s="5" t="str">
        <f>"陈钟丽"</f>
        <v>陈钟丽</v>
      </c>
      <c r="F620" s="5" t="str">
        <f t="shared" ref="F620:F623" si="170">"女"</f>
        <v>女</v>
      </c>
      <c r="G620" s="5" t="str">
        <f>"1994-02-10"</f>
        <v>1994-02-10</v>
      </c>
      <c r="H620" s="5" t="str">
        <f>"江西中医药大学"</f>
        <v>江西中医药大学</v>
      </c>
    </row>
    <row r="621" s="2" customFormat="1" ht="20" customHeight="1" spans="1:8">
      <c r="A621" s="5">
        <v>619</v>
      </c>
      <c r="B621" s="5" t="str">
        <f>"223220191125112633211893"</f>
        <v>223220191125112633211893</v>
      </c>
      <c r="C621" s="5" t="s">
        <v>35</v>
      </c>
      <c r="D621" s="5" t="s">
        <v>36</v>
      </c>
      <c r="E621" s="5" t="str">
        <f>"马丽泉"</f>
        <v>马丽泉</v>
      </c>
      <c r="F621" s="5" t="str">
        <f t="shared" si="170"/>
        <v>女</v>
      </c>
      <c r="G621" s="5" t="str">
        <f>"1990-05-14"</f>
        <v>1990-05-14</v>
      </c>
      <c r="H621" s="5" t="str">
        <f>"哈尔滨商业大学"</f>
        <v>哈尔滨商业大学</v>
      </c>
    </row>
    <row r="622" s="2" customFormat="1" ht="20" customHeight="1" spans="1:8">
      <c r="A622" s="5">
        <v>620</v>
      </c>
      <c r="B622" s="5" t="str">
        <f>"223220191125112922211898"</f>
        <v>223220191125112922211898</v>
      </c>
      <c r="C622" s="5" t="s">
        <v>35</v>
      </c>
      <c r="D622" s="5" t="s">
        <v>36</v>
      </c>
      <c r="E622" s="5" t="str">
        <f>"韦静雅"</f>
        <v>韦静雅</v>
      </c>
      <c r="F622" s="5" t="str">
        <f t="shared" si="170"/>
        <v>女</v>
      </c>
      <c r="G622" s="5" t="str">
        <f>"1994-12-31"</f>
        <v>1994-12-31</v>
      </c>
      <c r="H622" s="5" t="str">
        <f>"重庆工商大学"</f>
        <v>重庆工商大学</v>
      </c>
    </row>
    <row r="623" s="2" customFormat="1" ht="20" customHeight="1" spans="1:8">
      <c r="A623" s="5">
        <v>621</v>
      </c>
      <c r="B623" s="5" t="str">
        <f>"223220191125113348211907"</f>
        <v>223220191125113348211907</v>
      </c>
      <c r="C623" s="5" t="s">
        <v>35</v>
      </c>
      <c r="D623" s="5" t="s">
        <v>36</v>
      </c>
      <c r="E623" s="5" t="str">
        <f>"羊玉凤"</f>
        <v>羊玉凤</v>
      </c>
      <c r="F623" s="5" t="str">
        <f t="shared" si="170"/>
        <v>女</v>
      </c>
      <c r="G623" s="5" t="str">
        <f>"1992-09-20"</f>
        <v>1992-09-20</v>
      </c>
      <c r="H623" s="5" t="str">
        <f>"东华理工大学长江学院"</f>
        <v>东华理工大学长江学院</v>
      </c>
    </row>
    <row r="624" s="2" customFormat="1" ht="20" customHeight="1" spans="1:8">
      <c r="A624" s="5">
        <v>622</v>
      </c>
      <c r="B624" s="5" t="str">
        <f>"223220191125121927211986"</f>
        <v>223220191125121927211986</v>
      </c>
      <c r="C624" s="5" t="s">
        <v>35</v>
      </c>
      <c r="D624" s="5" t="s">
        <v>36</v>
      </c>
      <c r="E624" s="5" t="str">
        <f>"刘书亮"</f>
        <v>刘书亮</v>
      </c>
      <c r="F624" s="5" t="str">
        <f t="shared" ref="F624:F629" si="171">"男"</f>
        <v>男</v>
      </c>
      <c r="G624" s="5" t="str">
        <f>"1993-08-15"</f>
        <v>1993-08-15</v>
      </c>
      <c r="H624" s="5" t="str">
        <f>"海南师范大学"</f>
        <v>海南师范大学</v>
      </c>
    </row>
    <row r="625" s="2" customFormat="1" ht="20" customHeight="1" spans="1:8">
      <c r="A625" s="5">
        <v>623</v>
      </c>
      <c r="B625" s="5" t="str">
        <f>"223220191125124005212000"</f>
        <v>223220191125124005212000</v>
      </c>
      <c r="C625" s="5" t="s">
        <v>35</v>
      </c>
      <c r="D625" s="5" t="s">
        <v>36</v>
      </c>
      <c r="E625" s="5" t="str">
        <f>"唐业"</f>
        <v>唐业</v>
      </c>
      <c r="F625" s="5" t="str">
        <f t="shared" si="171"/>
        <v>男</v>
      </c>
      <c r="G625" s="5" t="str">
        <f>"1993-10-08"</f>
        <v>1993-10-08</v>
      </c>
      <c r="H625" s="5" t="str">
        <f>"西安培华学院"</f>
        <v>西安培华学院</v>
      </c>
    </row>
    <row r="626" s="2" customFormat="1" ht="20" customHeight="1" spans="1:8">
      <c r="A626" s="5">
        <v>624</v>
      </c>
      <c r="B626" s="5" t="str">
        <f>"223220191125125954212025"</f>
        <v>223220191125125954212025</v>
      </c>
      <c r="C626" s="5" t="s">
        <v>35</v>
      </c>
      <c r="D626" s="5" t="s">
        <v>36</v>
      </c>
      <c r="E626" s="5" t="str">
        <f>"郑雄月"</f>
        <v>郑雄月</v>
      </c>
      <c r="F626" s="5" t="str">
        <f t="shared" ref="F626:F628" si="172">"女"</f>
        <v>女</v>
      </c>
      <c r="G626" s="5" t="str">
        <f>"1992-06-22"</f>
        <v>1992-06-22</v>
      </c>
      <c r="H626" s="5" t="str">
        <f>"商丘师范学院"</f>
        <v>商丘师范学院</v>
      </c>
    </row>
    <row r="627" s="2" customFormat="1" ht="20" customHeight="1" spans="1:8">
      <c r="A627" s="5">
        <v>625</v>
      </c>
      <c r="B627" s="5" t="str">
        <f>"223220191125141343212085"</f>
        <v>223220191125141343212085</v>
      </c>
      <c r="C627" s="5" t="s">
        <v>35</v>
      </c>
      <c r="D627" s="5" t="s">
        <v>36</v>
      </c>
      <c r="E627" s="5" t="str">
        <f>"吴丽君"</f>
        <v>吴丽君</v>
      </c>
      <c r="F627" s="5" t="str">
        <f t="shared" si="172"/>
        <v>女</v>
      </c>
      <c r="G627" s="5" t="str">
        <f>"1993-11-23"</f>
        <v>1993-11-23</v>
      </c>
      <c r="H627" s="5" t="str">
        <f>"湖北经济学院"</f>
        <v>湖北经济学院</v>
      </c>
    </row>
    <row r="628" s="2" customFormat="1" ht="20" customHeight="1" spans="1:8">
      <c r="A628" s="5">
        <v>626</v>
      </c>
      <c r="B628" s="5" t="str">
        <f>"223220191125150644212163"</f>
        <v>223220191125150644212163</v>
      </c>
      <c r="C628" s="5" t="s">
        <v>35</v>
      </c>
      <c r="D628" s="5" t="s">
        <v>36</v>
      </c>
      <c r="E628" s="5" t="str">
        <f>"麦淑庆"</f>
        <v>麦淑庆</v>
      </c>
      <c r="F628" s="5" t="str">
        <f t="shared" si="172"/>
        <v>女</v>
      </c>
      <c r="G628" s="5" t="str">
        <f>"1994-09-06"</f>
        <v>1994-09-06</v>
      </c>
      <c r="H628" s="5" t="str">
        <f>"江西农业大学南昌商学院"</f>
        <v>江西农业大学南昌商学院</v>
      </c>
    </row>
    <row r="629" s="2" customFormat="1" ht="20" customHeight="1" spans="1:8">
      <c r="A629" s="5">
        <v>627</v>
      </c>
      <c r="B629" s="5" t="str">
        <f>"223220191125150757212167"</f>
        <v>223220191125150757212167</v>
      </c>
      <c r="C629" s="5" t="s">
        <v>35</v>
      </c>
      <c r="D629" s="5" t="s">
        <v>36</v>
      </c>
      <c r="E629" s="5" t="str">
        <f>"黎秀兵"</f>
        <v>黎秀兵</v>
      </c>
      <c r="F629" s="5" t="str">
        <f>"男"</f>
        <v>男</v>
      </c>
      <c r="G629" s="5" t="str">
        <f>"1993-07-03"</f>
        <v>1993-07-03</v>
      </c>
      <c r="H629" s="5" t="str">
        <f>"华北电力大学科技学院"</f>
        <v>华北电力大学科技学院</v>
      </c>
    </row>
    <row r="630" s="2" customFormat="1" ht="20" customHeight="1" spans="1:8">
      <c r="A630" s="5">
        <v>628</v>
      </c>
      <c r="B630" s="5" t="str">
        <f>"223220191125150939212172"</f>
        <v>223220191125150939212172</v>
      </c>
      <c r="C630" s="5" t="s">
        <v>35</v>
      </c>
      <c r="D630" s="5" t="s">
        <v>36</v>
      </c>
      <c r="E630" s="5" t="str">
        <f>"李霞"</f>
        <v>李霞</v>
      </c>
      <c r="F630" s="5" t="str">
        <f t="shared" ref="F630:F637" si="173">"女"</f>
        <v>女</v>
      </c>
      <c r="G630" s="5" t="str">
        <f>"1987-11-09"</f>
        <v>1987-11-09</v>
      </c>
      <c r="H630" s="5" t="str">
        <f>"湖南理工学院"</f>
        <v>湖南理工学院</v>
      </c>
    </row>
    <row r="631" s="2" customFormat="1" ht="20" customHeight="1" spans="1:8">
      <c r="A631" s="5">
        <v>629</v>
      </c>
      <c r="B631" s="5" t="str">
        <f>"223220191125151052212175"</f>
        <v>223220191125151052212175</v>
      </c>
      <c r="C631" s="5" t="s">
        <v>35</v>
      </c>
      <c r="D631" s="5" t="s">
        <v>36</v>
      </c>
      <c r="E631" s="5" t="str">
        <f>"符春丹"</f>
        <v>符春丹</v>
      </c>
      <c r="F631" s="5" t="str">
        <f t="shared" si="173"/>
        <v>女</v>
      </c>
      <c r="G631" s="5" t="str">
        <f>"1992-12-17"</f>
        <v>1992-12-17</v>
      </c>
      <c r="H631" s="5" t="str">
        <f>"浙江传媒学院"</f>
        <v>浙江传媒学院</v>
      </c>
    </row>
    <row r="632" s="2" customFormat="1" ht="20" customHeight="1" spans="1:8">
      <c r="A632" s="5">
        <v>630</v>
      </c>
      <c r="B632" s="5" t="str">
        <f>"223220191125153017212213"</f>
        <v>223220191125153017212213</v>
      </c>
      <c r="C632" s="5" t="s">
        <v>35</v>
      </c>
      <c r="D632" s="5" t="s">
        <v>36</v>
      </c>
      <c r="E632" s="5" t="str">
        <f>"李懿"</f>
        <v>李懿</v>
      </c>
      <c r="F632" s="5" t="str">
        <f>"男"</f>
        <v>男</v>
      </c>
      <c r="G632" s="5" t="str">
        <f>"1993-03-19"</f>
        <v>1993-03-19</v>
      </c>
      <c r="H632" s="5" t="str">
        <f>"辽宁科技大学"</f>
        <v>辽宁科技大学</v>
      </c>
    </row>
    <row r="633" s="2" customFormat="1" ht="20" customHeight="1" spans="1:8">
      <c r="A633" s="5">
        <v>631</v>
      </c>
      <c r="B633" s="5" t="str">
        <f>"223220191125153552212231"</f>
        <v>223220191125153552212231</v>
      </c>
      <c r="C633" s="5" t="s">
        <v>35</v>
      </c>
      <c r="D633" s="5" t="s">
        <v>36</v>
      </c>
      <c r="E633" s="5" t="str">
        <f>"林丽红"</f>
        <v>林丽红</v>
      </c>
      <c r="F633" s="5" t="str">
        <f t="shared" ref="F633:F637" si="174">"女"</f>
        <v>女</v>
      </c>
      <c r="G633" s="5" t="str">
        <f>"1995-11-29"</f>
        <v>1995-11-29</v>
      </c>
      <c r="H633" s="5" t="str">
        <f>"重庆师范大学"</f>
        <v>重庆师范大学</v>
      </c>
    </row>
    <row r="634" s="2" customFormat="1" ht="20" customHeight="1" spans="1:8">
      <c r="A634" s="5">
        <v>632</v>
      </c>
      <c r="B634" s="5" t="str">
        <f>"223220191125154344212248"</f>
        <v>223220191125154344212248</v>
      </c>
      <c r="C634" s="5" t="s">
        <v>35</v>
      </c>
      <c r="D634" s="5" t="s">
        <v>36</v>
      </c>
      <c r="E634" s="5" t="str">
        <f>"黎桃美"</f>
        <v>黎桃美</v>
      </c>
      <c r="F634" s="5" t="str">
        <f t="shared" si="174"/>
        <v>女</v>
      </c>
      <c r="G634" s="5" t="str">
        <f>"1992-11-24"</f>
        <v>1992-11-24</v>
      </c>
      <c r="H634" s="5" t="str">
        <f>"商丘师范学院"</f>
        <v>商丘师范学院</v>
      </c>
    </row>
    <row r="635" s="2" customFormat="1" ht="20" customHeight="1" spans="1:8">
      <c r="A635" s="5">
        <v>633</v>
      </c>
      <c r="B635" s="5" t="str">
        <f>"223220191125165534212344"</f>
        <v>223220191125165534212344</v>
      </c>
      <c r="C635" s="5" t="s">
        <v>35</v>
      </c>
      <c r="D635" s="5" t="s">
        <v>36</v>
      </c>
      <c r="E635" s="5" t="str">
        <f>"李慧伦"</f>
        <v>李慧伦</v>
      </c>
      <c r="F635" s="5" t="str">
        <f t="shared" si="174"/>
        <v>女</v>
      </c>
      <c r="G635" s="5" t="str">
        <f>"1995-06-17"</f>
        <v>1995-06-17</v>
      </c>
      <c r="H635" s="5" t="str">
        <f>"海南师范大学"</f>
        <v>海南师范大学</v>
      </c>
    </row>
    <row r="636" s="2" customFormat="1" ht="20" customHeight="1" spans="1:8">
      <c r="A636" s="5">
        <v>634</v>
      </c>
      <c r="B636" s="5" t="str">
        <f>"223220191125165708212345"</f>
        <v>223220191125165708212345</v>
      </c>
      <c r="C636" s="5" t="s">
        <v>35</v>
      </c>
      <c r="D636" s="5" t="s">
        <v>36</v>
      </c>
      <c r="E636" s="5" t="str">
        <f>"李彩林"</f>
        <v>李彩林</v>
      </c>
      <c r="F636" s="5" t="str">
        <f t="shared" si="174"/>
        <v>女</v>
      </c>
      <c r="G636" s="5" t="str">
        <f>"1991-03-14"</f>
        <v>1991-03-14</v>
      </c>
      <c r="H636" s="5" t="str">
        <f>"长春科技学院"</f>
        <v>长春科技学院</v>
      </c>
    </row>
    <row r="637" s="2" customFormat="1" ht="20" customHeight="1" spans="1:8">
      <c r="A637" s="5">
        <v>635</v>
      </c>
      <c r="B637" s="5" t="str">
        <f>"223220191125170036212352"</f>
        <v>223220191125170036212352</v>
      </c>
      <c r="C637" s="5" t="s">
        <v>35</v>
      </c>
      <c r="D637" s="5" t="s">
        <v>36</v>
      </c>
      <c r="E637" s="5" t="str">
        <f>"何慧怡"</f>
        <v>何慧怡</v>
      </c>
      <c r="F637" s="5" t="str">
        <f t="shared" si="174"/>
        <v>女</v>
      </c>
      <c r="G637" s="5" t="str">
        <f>"1993-08-21"</f>
        <v>1993-08-21</v>
      </c>
      <c r="H637" s="5" t="str">
        <f>"西安工业大学"</f>
        <v>西安工业大学</v>
      </c>
    </row>
    <row r="638" s="2" customFormat="1" ht="20" customHeight="1" spans="1:8">
      <c r="A638" s="5">
        <v>636</v>
      </c>
      <c r="B638" s="5" t="str">
        <f>"223220191125172104212378"</f>
        <v>223220191125172104212378</v>
      </c>
      <c r="C638" s="5" t="s">
        <v>35</v>
      </c>
      <c r="D638" s="5" t="s">
        <v>36</v>
      </c>
      <c r="E638" s="5" t="str">
        <f>"关海强"</f>
        <v>关海强</v>
      </c>
      <c r="F638" s="5" t="str">
        <f t="shared" ref="F638:F641" si="175">"男"</f>
        <v>男</v>
      </c>
      <c r="G638" s="5" t="str">
        <f>"1996-07-09"</f>
        <v>1996-07-09</v>
      </c>
      <c r="H638" s="5" t="str">
        <f>"海口经济学院"</f>
        <v>海口经济学院</v>
      </c>
    </row>
    <row r="639" s="2" customFormat="1" ht="20" customHeight="1" spans="1:8">
      <c r="A639" s="5">
        <v>637</v>
      </c>
      <c r="B639" s="5" t="str">
        <f>"223220191125174436212411"</f>
        <v>223220191125174436212411</v>
      </c>
      <c r="C639" s="5" t="s">
        <v>35</v>
      </c>
      <c r="D639" s="5" t="s">
        <v>36</v>
      </c>
      <c r="E639" s="5" t="str">
        <f>"孙卓玉"</f>
        <v>孙卓玉</v>
      </c>
      <c r="F639" s="5" t="str">
        <f t="shared" si="175"/>
        <v>男</v>
      </c>
      <c r="G639" s="5" t="str">
        <f>"1995-09-19"</f>
        <v>1995-09-19</v>
      </c>
      <c r="H639" s="5" t="str">
        <f>"海南大学"</f>
        <v>海南大学</v>
      </c>
    </row>
    <row r="640" s="2" customFormat="1" ht="20" customHeight="1" spans="1:8">
      <c r="A640" s="5">
        <v>638</v>
      </c>
      <c r="B640" s="5" t="str">
        <f>"223220191125191512212497"</f>
        <v>223220191125191512212497</v>
      </c>
      <c r="C640" s="5" t="s">
        <v>35</v>
      </c>
      <c r="D640" s="5" t="s">
        <v>36</v>
      </c>
      <c r="E640" s="5" t="str">
        <f>"朱建丽"</f>
        <v>朱建丽</v>
      </c>
      <c r="F640" s="5" t="str">
        <f t="shared" ref="F640:F643" si="176">"女"</f>
        <v>女</v>
      </c>
      <c r="G640" s="5" t="str">
        <f>"1995-04-10"</f>
        <v>1995-04-10</v>
      </c>
      <c r="H640" s="5" t="str">
        <f>"白城师范学院"</f>
        <v>白城师范学院</v>
      </c>
    </row>
    <row r="641" s="2" customFormat="1" ht="20" customHeight="1" spans="1:8">
      <c r="A641" s="5">
        <v>639</v>
      </c>
      <c r="B641" s="5" t="str">
        <f>"223220191125192241212512"</f>
        <v>223220191125192241212512</v>
      </c>
      <c r="C641" s="5" t="s">
        <v>35</v>
      </c>
      <c r="D641" s="5" t="s">
        <v>36</v>
      </c>
      <c r="E641" s="5" t="str">
        <f>"金柱"</f>
        <v>金柱</v>
      </c>
      <c r="F641" s="5" t="str">
        <f>"男"</f>
        <v>男</v>
      </c>
      <c r="G641" s="5" t="str">
        <f>"1993-03-19"</f>
        <v>1993-03-19</v>
      </c>
      <c r="H641" s="5" t="str">
        <f>"海南师范大学"</f>
        <v>海南师范大学</v>
      </c>
    </row>
    <row r="642" s="2" customFormat="1" ht="20" customHeight="1" spans="1:8">
      <c r="A642" s="5">
        <v>640</v>
      </c>
      <c r="B642" s="5" t="str">
        <f>"223220191125194010212532"</f>
        <v>223220191125194010212532</v>
      </c>
      <c r="C642" s="5" t="s">
        <v>35</v>
      </c>
      <c r="D642" s="5" t="s">
        <v>36</v>
      </c>
      <c r="E642" s="5" t="str">
        <f>"邱小玉"</f>
        <v>邱小玉</v>
      </c>
      <c r="F642" s="5" t="str">
        <f>"女"</f>
        <v>女</v>
      </c>
      <c r="G642" s="5" t="str">
        <f>"1997-03-29"</f>
        <v>1997-03-29</v>
      </c>
      <c r="H642" s="5" t="str">
        <f>"海南热带海洋学院"</f>
        <v>海南热带海洋学院</v>
      </c>
    </row>
    <row r="643" s="2" customFormat="1" ht="20" customHeight="1" spans="1:8">
      <c r="A643" s="5">
        <v>641</v>
      </c>
      <c r="B643" s="5" t="str">
        <f>"223220191125201056212578"</f>
        <v>223220191125201056212578</v>
      </c>
      <c r="C643" s="5" t="s">
        <v>35</v>
      </c>
      <c r="D643" s="5" t="s">
        <v>36</v>
      </c>
      <c r="E643" s="5" t="str">
        <f>"赵月庆"</f>
        <v>赵月庆</v>
      </c>
      <c r="F643" s="5" t="str">
        <f>"女"</f>
        <v>女</v>
      </c>
      <c r="G643" s="5" t="str">
        <f>"1994-10-31"</f>
        <v>1994-10-31</v>
      </c>
      <c r="H643" s="5" t="str">
        <f>"齐鲁工业大学"</f>
        <v>齐鲁工业大学</v>
      </c>
    </row>
    <row r="644" s="2" customFormat="1" ht="20" customHeight="1" spans="1:8">
      <c r="A644" s="5">
        <v>642</v>
      </c>
      <c r="B644" s="5" t="str">
        <f>"223220191125203652212616"</f>
        <v>223220191125203652212616</v>
      </c>
      <c r="C644" s="5" t="s">
        <v>35</v>
      </c>
      <c r="D644" s="5" t="s">
        <v>36</v>
      </c>
      <c r="E644" s="5" t="str">
        <f>"符定有"</f>
        <v>符定有</v>
      </c>
      <c r="F644" s="5" t="str">
        <f t="shared" ref="F644:F650" si="177">"男"</f>
        <v>男</v>
      </c>
      <c r="G644" s="5" t="str">
        <f>"1993-09-19"</f>
        <v>1993-09-19</v>
      </c>
      <c r="H644" s="5" t="str">
        <f>"怀化学院"</f>
        <v>怀化学院</v>
      </c>
    </row>
    <row r="645" s="2" customFormat="1" ht="20" customHeight="1" spans="1:8">
      <c r="A645" s="5">
        <v>643</v>
      </c>
      <c r="B645" s="5" t="str">
        <f>"223220191125210842212662"</f>
        <v>223220191125210842212662</v>
      </c>
      <c r="C645" s="5" t="s">
        <v>35</v>
      </c>
      <c r="D645" s="5" t="s">
        <v>36</v>
      </c>
      <c r="E645" s="5" t="str">
        <f>"文江鹏"</f>
        <v>文江鹏</v>
      </c>
      <c r="F645" s="5" t="str">
        <f t="shared" si="177"/>
        <v>男</v>
      </c>
      <c r="G645" s="5" t="str">
        <f>"1995-02-13"</f>
        <v>1995-02-13</v>
      </c>
      <c r="H645" s="5" t="str">
        <f>"安阳工学院"</f>
        <v>安阳工学院</v>
      </c>
    </row>
    <row r="646" s="2" customFormat="1" ht="20" customHeight="1" spans="1:8">
      <c r="A646" s="5">
        <v>644</v>
      </c>
      <c r="B646" s="5" t="str">
        <f>"223220191125212035212681"</f>
        <v>223220191125212035212681</v>
      </c>
      <c r="C646" s="5" t="s">
        <v>35</v>
      </c>
      <c r="D646" s="5" t="s">
        <v>36</v>
      </c>
      <c r="E646" s="5" t="str">
        <f>"羊国波"</f>
        <v>羊国波</v>
      </c>
      <c r="F646" s="5" t="str">
        <f t="shared" si="177"/>
        <v>男</v>
      </c>
      <c r="G646" s="5" t="str">
        <f>"1992-04-13"</f>
        <v>1992-04-13</v>
      </c>
      <c r="H646" s="5" t="str">
        <f>"文山学院"</f>
        <v>文山学院</v>
      </c>
    </row>
    <row r="647" s="2" customFormat="1" ht="20" customHeight="1" spans="1:8">
      <c r="A647" s="5">
        <v>645</v>
      </c>
      <c r="B647" s="5" t="str">
        <f>"223220191125214317212720"</f>
        <v>223220191125214317212720</v>
      </c>
      <c r="C647" s="5" t="s">
        <v>35</v>
      </c>
      <c r="D647" s="5" t="s">
        <v>36</v>
      </c>
      <c r="E647" s="5" t="str">
        <f>"黎秀强"</f>
        <v>黎秀强</v>
      </c>
      <c r="F647" s="5" t="str">
        <f t="shared" si="177"/>
        <v>男</v>
      </c>
      <c r="G647" s="5" t="str">
        <f>"1989-01-06"</f>
        <v>1989-01-06</v>
      </c>
      <c r="H647" s="5" t="str">
        <f>"安阳工学院"</f>
        <v>安阳工学院</v>
      </c>
    </row>
    <row r="648" s="2" customFormat="1" ht="20" customHeight="1" spans="1:8">
      <c r="A648" s="5">
        <v>646</v>
      </c>
      <c r="B648" s="5" t="str">
        <f>"223220191125215057212724"</f>
        <v>223220191125215057212724</v>
      </c>
      <c r="C648" s="5" t="s">
        <v>35</v>
      </c>
      <c r="D648" s="5" t="s">
        <v>36</v>
      </c>
      <c r="E648" s="5" t="str">
        <f>"吴泱周"</f>
        <v>吴泱周</v>
      </c>
      <c r="F648" s="5" t="str">
        <f t="shared" si="177"/>
        <v>男</v>
      </c>
      <c r="G648" s="5" t="str">
        <f>"1991-05-26"</f>
        <v>1991-05-26</v>
      </c>
      <c r="H648" s="5" t="str">
        <f>"厦门大学嘉庚学院"</f>
        <v>厦门大学嘉庚学院</v>
      </c>
    </row>
    <row r="649" s="2" customFormat="1" ht="20" customHeight="1" spans="1:8">
      <c r="A649" s="5">
        <v>647</v>
      </c>
      <c r="B649" s="5" t="str">
        <f>"223220191125215833212729"</f>
        <v>223220191125215833212729</v>
      </c>
      <c r="C649" s="5" t="s">
        <v>35</v>
      </c>
      <c r="D649" s="5" t="s">
        <v>36</v>
      </c>
      <c r="E649" s="5" t="str">
        <f>"游诗潮"</f>
        <v>游诗潮</v>
      </c>
      <c r="F649" s="5" t="str">
        <f t="shared" si="177"/>
        <v>男</v>
      </c>
      <c r="G649" s="5" t="str">
        <f>"1984-10-20"</f>
        <v>1984-10-20</v>
      </c>
      <c r="H649" s="5" t="str">
        <f>"哈尔滨理工大学"</f>
        <v>哈尔滨理工大学</v>
      </c>
    </row>
    <row r="650" s="2" customFormat="1" ht="20" customHeight="1" spans="1:8">
      <c r="A650" s="5">
        <v>648</v>
      </c>
      <c r="B650" s="5" t="str">
        <f>"223220191125223844212770"</f>
        <v>223220191125223844212770</v>
      </c>
      <c r="C650" s="5" t="s">
        <v>35</v>
      </c>
      <c r="D650" s="5" t="s">
        <v>36</v>
      </c>
      <c r="E650" s="5" t="str">
        <f>"游寿鑫"</f>
        <v>游寿鑫</v>
      </c>
      <c r="F650" s="5" t="str">
        <f t="shared" si="177"/>
        <v>男</v>
      </c>
      <c r="G650" s="5" t="str">
        <f>"1995-02-16"</f>
        <v>1995-02-16</v>
      </c>
      <c r="H650" s="5" t="str">
        <f>"辽宁石油化工大学"</f>
        <v>辽宁石油化工大学</v>
      </c>
    </row>
    <row r="651" s="2" customFormat="1" ht="20" customHeight="1" spans="1:8">
      <c r="A651" s="5">
        <v>649</v>
      </c>
      <c r="B651" s="5" t="str">
        <f>"223220191126080749212861"</f>
        <v>223220191126080749212861</v>
      </c>
      <c r="C651" s="5" t="s">
        <v>35</v>
      </c>
      <c r="D651" s="5" t="s">
        <v>36</v>
      </c>
      <c r="E651" s="5" t="str">
        <f>"林秀衍"</f>
        <v>林秀衍</v>
      </c>
      <c r="F651" s="5" t="str">
        <f t="shared" ref="F651:F658" si="178">"女"</f>
        <v>女</v>
      </c>
      <c r="G651" s="5" t="str">
        <f>"1992-12-28"</f>
        <v>1992-12-28</v>
      </c>
      <c r="H651" s="5" t="str">
        <f>"海口经济学院"</f>
        <v>海口经济学院</v>
      </c>
    </row>
    <row r="652" s="2" customFormat="1" ht="20" customHeight="1" spans="1:8">
      <c r="A652" s="5">
        <v>650</v>
      </c>
      <c r="B652" s="5" t="str">
        <f>"223220191126083601212918"</f>
        <v>223220191126083601212918</v>
      </c>
      <c r="C652" s="5" t="s">
        <v>35</v>
      </c>
      <c r="D652" s="5" t="s">
        <v>36</v>
      </c>
      <c r="E652" s="5" t="str">
        <f>"郭红杏"</f>
        <v>郭红杏</v>
      </c>
      <c r="F652" s="5" t="str">
        <f t="shared" si="178"/>
        <v>女</v>
      </c>
      <c r="G652" s="5" t="str">
        <f>"1995-04-10"</f>
        <v>1995-04-10</v>
      </c>
      <c r="H652" s="5" t="str">
        <f>"江西师范大学科学技术学院"</f>
        <v>江西师范大学科学技术学院</v>
      </c>
    </row>
    <row r="653" s="2" customFormat="1" ht="20" customHeight="1" spans="1:8">
      <c r="A653" s="5">
        <v>651</v>
      </c>
      <c r="B653" s="5" t="str">
        <f>"223220191126090255213001"</f>
        <v>223220191126090255213001</v>
      </c>
      <c r="C653" s="5" t="s">
        <v>35</v>
      </c>
      <c r="D653" s="5" t="s">
        <v>36</v>
      </c>
      <c r="E653" s="5" t="str">
        <f>"李加进"</f>
        <v>李加进</v>
      </c>
      <c r="F653" s="5" t="str">
        <f>"男"</f>
        <v>男</v>
      </c>
      <c r="G653" s="5" t="str">
        <f>"1993-05-10"</f>
        <v>1993-05-10</v>
      </c>
      <c r="H653" s="5" t="str">
        <f>"中央司法警官学院"</f>
        <v>中央司法警官学院</v>
      </c>
    </row>
    <row r="654" s="2" customFormat="1" ht="20" customHeight="1" spans="1:8">
      <c r="A654" s="5">
        <v>652</v>
      </c>
      <c r="B654" s="5" t="str">
        <f>"223220191126092548213099"</f>
        <v>223220191126092548213099</v>
      </c>
      <c r="C654" s="5" t="s">
        <v>35</v>
      </c>
      <c r="D654" s="5" t="s">
        <v>36</v>
      </c>
      <c r="E654" s="5" t="str">
        <f>"陈卓冰 "</f>
        <v>陈卓冰 </v>
      </c>
      <c r="F654" s="5" t="str">
        <f>"男"</f>
        <v>男</v>
      </c>
      <c r="G654" s="5" t="str">
        <f>"1996-10-11"</f>
        <v>1996-10-11</v>
      </c>
      <c r="H654" s="5" t="str">
        <f>"赣南医学院"</f>
        <v>赣南医学院</v>
      </c>
    </row>
    <row r="655" s="2" customFormat="1" ht="20" customHeight="1" spans="1:8">
      <c r="A655" s="5">
        <v>653</v>
      </c>
      <c r="B655" s="5" t="str">
        <f>"223220191126093540213149"</f>
        <v>223220191126093540213149</v>
      </c>
      <c r="C655" s="5" t="s">
        <v>35</v>
      </c>
      <c r="D655" s="5" t="s">
        <v>36</v>
      </c>
      <c r="E655" s="5" t="str">
        <f>"曾引玲"</f>
        <v>曾引玲</v>
      </c>
      <c r="F655" s="5" t="str">
        <f t="shared" ref="F655:F658" si="179">"女"</f>
        <v>女</v>
      </c>
      <c r="G655" s="5" t="str">
        <f>"1994-06-14"</f>
        <v>1994-06-14</v>
      </c>
      <c r="H655" s="5" t="str">
        <f>"云南师范大学"</f>
        <v>云南师范大学</v>
      </c>
    </row>
    <row r="656" s="2" customFormat="1" ht="20" customHeight="1" spans="1:8">
      <c r="A656" s="5">
        <v>654</v>
      </c>
      <c r="B656" s="5" t="str">
        <f>"223220191126095441213231"</f>
        <v>223220191126095441213231</v>
      </c>
      <c r="C656" s="5" t="s">
        <v>35</v>
      </c>
      <c r="D656" s="5" t="s">
        <v>36</v>
      </c>
      <c r="E656" s="5" t="str">
        <f>"唐美莹"</f>
        <v>唐美莹</v>
      </c>
      <c r="F656" s="5" t="str">
        <f t="shared" si="179"/>
        <v>女</v>
      </c>
      <c r="G656" s="5" t="str">
        <f>"1992-05-22"</f>
        <v>1992-05-22</v>
      </c>
      <c r="H656" s="5" t="str">
        <f>"北京城市学院"</f>
        <v>北京城市学院</v>
      </c>
    </row>
    <row r="657" s="2" customFormat="1" ht="20" customHeight="1" spans="1:8">
      <c r="A657" s="5">
        <v>655</v>
      </c>
      <c r="B657" s="5" t="str">
        <f>"223220191126095726213243"</f>
        <v>223220191126095726213243</v>
      </c>
      <c r="C657" s="5" t="s">
        <v>35</v>
      </c>
      <c r="D657" s="5" t="s">
        <v>36</v>
      </c>
      <c r="E657" s="5" t="str">
        <f>"潘卫姗"</f>
        <v>潘卫姗</v>
      </c>
      <c r="F657" s="5" t="str">
        <f t="shared" si="179"/>
        <v>女</v>
      </c>
      <c r="G657" s="5" t="str">
        <f>"1988-01-02"</f>
        <v>1988-01-02</v>
      </c>
      <c r="H657" s="5" t="str">
        <f>"海南大学三亚学院"</f>
        <v>海南大学三亚学院</v>
      </c>
    </row>
    <row r="658" s="2" customFormat="1" ht="20" customHeight="1" spans="1:8">
      <c r="A658" s="5">
        <v>656</v>
      </c>
      <c r="B658" s="5" t="str">
        <f>"223220191126103228213380"</f>
        <v>223220191126103228213380</v>
      </c>
      <c r="C658" s="5" t="s">
        <v>35</v>
      </c>
      <c r="D658" s="5" t="s">
        <v>36</v>
      </c>
      <c r="E658" s="5" t="str">
        <f>"何鸾美"</f>
        <v>何鸾美</v>
      </c>
      <c r="F658" s="5" t="str">
        <f t="shared" si="179"/>
        <v>女</v>
      </c>
      <c r="G658" s="5" t="str">
        <f>"1993-04-19"</f>
        <v>1993-04-19</v>
      </c>
      <c r="H658" s="5" t="str">
        <f>"湖南科技大学"</f>
        <v>湖南科技大学</v>
      </c>
    </row>
    <row r="659" s="2" customFormat="1" ht="20" customHeight="1" spans="1:8">
      <c r="A659" s="5">
        <v>657</v>
      </c>
      <c r="B659" s="5" t="str">
        <f>"223220191126113612213596"</f>
        <v>223220191126113612213596</v>
      </c>
      <c r="C659" s="5" t="s">
        <v>35</v>
      </c>
      <c r="D659" s="5" t="s">
        <v>36</v>
      </c>
      <c r="E659" s="5" t="str">
        <f>"羊克华"</f>
        <v>羊克华</v>
      </c>
      <c r="F659" s="5" t="str">
        <f t="shared" ref="F659:F662" si="180">"男"</f>
        <v>男</v>
      </c>
      <c r="G659" s="5" t="str">
        <f>"1993-02-05"</f>
        <v>1993-02-05</v>
      </c>
      <c r="H659" s="5" t="str">
        <f>"河南工程学院"</f>
        <v>河南工程学院</v>
      </c>
    </row>
    <row r="660" s="2" customFormat="1" ht="20" customHeight="1" spans="1:8">
      <c r="A660" s="5">
        <v>658</v>
      </c>
      <c r="B660" s="5" t="str">
        <f>"223220191126114527213623"</f>
        <v>223220191126114527213623</v>
      </c>
      <c r="C660" s="5" t="s">
        <v>35</v>
      </c>
      <c r="D660" s="5" t="s">
        <v>36</v>
      </c>
      <c r="E660" s="5" t="str">
        <f>"李梦梅"</f>
        <v>李梦梅</v>
      </c>
      <c r="F660" s="5" t="str">
        <f t="shared" ref="F660:F665" si="181">"女"</f>
        <v>女</v>
      </c>
      <c r="G660" s="5" t="str">
        <f>"1991-09-09"</f>
        <v>1991-09-09</v>
      </c>
      <c r="H660" s="5" t="str">
        <f>"海南师范大学"</f>
        <v>海南师范大学</v>
      </c>
    </row>
    <row r="661" s="2" customFormat="1" ht="20" customHeight="1" spans="1:8">
      <c r="A661" s="5">
        <v>659</v>
      </c>
      <c r="B661" s="5" t="str">
        <f>"223220191126115119213635"</f>
        <v>223220191126115119213635</v>
      </c>
      <c r="C661" s="5" t="s">
        <v>35</v>
      </c>
      <c r="D661" s="5" t="s">
        <v>36</v>
      </c>
      <c r="E661" s="5" t="str">
        <f>"林永泉"</f>
        <v>林永泉</v>
      </c>
      <c r="F661" s="5" t="str">
        <f t="shared" ref="F661:F667" si="182">"男"</f>
        <v>男</v>
      </c>
      <c r="G661" s="5" t="str">
        <f>"1993-02-05"</f>
        <v>1993-02-05</v>
      </c>
      <c r="H661" s="5" t="str">
        <f>"四川师范大学成都学院"</f>
        <v>四川师范大学成都学院</v>
      </c>
    </row>
    <row r="662" s="2" customFormat="1" ht="20" customHeight="1" spans="1:8">
      <c r="A662" s="5">
        <v>660</v>
      </c>
      <c r="B662" s="5" t="str">
        <f>"223220191126123802213735"</f>
        <v>223220191126123802213735</v>
      </c>
      <c r="C662" s="5" t="s">
        <v>35</v>
      </c>
      <c r="D662" s="5" t="s">
        <v>36</v>
      </c>
      <c r="E662" s="5" t="str">
        <f>"刘甲灿"</f>
        <v>刘甲灿</v>
      </c>
      <c r="F662" s="5" t="str">
        <f t="shared" si="182"/>
        <v>男</v>
      </c>
      <c r="G662" s="5" t="str">
        <f>"1994-06-21"</f>
        <v>1994-06-21</v>
      </c>
      <c r="H662" s="5" t="str">
        <f>"贵州大学"</f>
        <v>贵州大学</v>
      </c>
    </row>
    <row r="663" s="2" customFormat="1" ht="20" customHeight="1" spans="1:8">
      <c r="A663" s="5">
        <v>661</v>
      </c>
      <c r="B663" s="5" t="str">
        <f>"223220191126125927213786"</f>
        <v>223220191126125927213786</v>
      </c>
      <c r="C663" s="5" t="s">
        <v>35</v>
      </c>
      <c r="D663" s="5" t="s">
        <v>36</v>
      </c>
      <c r="E663" s="5" t="str">
        <f>"林养娜"</f>
        <v>林养娜</v>
      </c>
      <c r="F663" s="5" t="str">
        <f t="shared" ref="F663:F668" si="183">"女"</f>
        <v>女</v>
      </c>
      <c r="G663" s="5" t="str">
        <f>"1993-07-28"</f>
        <v>1993-07-28</v>
      </c>
      <c r="H663" s="5" t="str">
        <f>"海口经济学院"</f>
        <v>海口经济学院</v>
      </c>
    </row>
    <row r="664" s="2" customFormat="1" ht="20" customHeight="1" spans="1:8">
      <c r="A664" s="5">
        <v>662</v>
      </c>
      <c r="B664" s="5" t="str">
        <f>"223220191126152118214057"</f>
        <v>223220191126152118214057</v>
      </c>
      <c r="C664" s="5" t="s">
        <v>35</v>
      </c>
      <c r="D664" s="5" t="s">
        <v>36</v>
      </c>
      <c r="E664" s="5" t="str">
        <f>"骆青山"</f>
        <v>骆青山</v>
      </c>
      <c r="F664" s="5" t="str">
        <f t="shared" ref="F664:F667" si="184">"男"</f>
        <v>男</v>
      </c>
      <c r="G664" s="5" t="str">
        <f>"1996-12-08"</f>
        <v>1996-12-08</v>
      </c>
      <c r="H664" s="5" t="str">
        <f>"南华大学"</f>
        <v>南华大学</v>
      </c>
    </row>
    <row r="665" s="2" customFormat="1" ht="20" customHeight="1" spans="1:8">
      <c r="A665" s="5">
        <v>663</v>
      </c>
      <c r="B665" s="5" t="str">
        <f>"223220191126155201214133"</f>
        <v>223220191126155201214133</v>
      </c>
      <c r="C665" s="5" t="s">
        <v>35</v>
      </c>
      <c r="D665" s="5" t="s">
        <v>36</v>
      </c>
      <c r="E665" s="5" t="str">
        <f>"吴淑娟"</f>
        <v>吴淑娟</v>
      </c>
      <c r="F665" s="5" t="str">
        <f>"女"</f>
        <v>女</v>
      </c>
      <c r="G665" s="5" t="str">
        <f>"1996-02-28"</f>
        <v>1996-02-28</v>
      </c>
      <c r="H665" s="5" t="str">
        <f>"湖南科技大学"</f>
        <v>湖南科技大学</v>
      </c>
    </row>
    <row r="666" s="2" customFormat="1" ht="20" customHeight="1" spans="1:8">
      <c r="A666" s="5">
        <v>664</v>
      </c>
      <c r="B666" s="5" t="str">
        <f>"223220191126162501214196"</f>
        <v>223220191126162501214196</v>
      </c>
      <c r="C666" s="5" t="s">
        <v>35</v>
      </c>
      <c r="D666" s="5" t="s">
        <v>36</v>
      </c>
      <c r="E666" s="5" t="str">
        <f>"李靖"</f>
        <v>李靖</v>
      </c>
      <c r="F666" s="5" t="str">
        <f>"男"</f>
        <v>男</v>
      </c>
      <c r="G666" s="5" t="str">
        <f>"1993-10-07"</f>
        <v>1993-10-07</v>
      </c>
      <c r="H666" s="5" t="str">
        <f>"百色学院"</f>
        <v>百色学院</v>
      </c>
    </row>
    <row r="667" s="2" customFormat="1" ht="20" customHeight="1" spans="1:8">
      <c r="A667" s="5">
        <v>665</v>
      </c>
      <c r="B667" s="5" t="str">
        <f>"223220191126163458214215"</f>
        <v>223220191126163458214215</v>
      </c>
      <c r="C667" s="5" t="s">
        <v>35</v>
      </c>
      <c r="D667" s="5" t="s">
        <v>36</v>
      </c>
      <c r="E667" s="5" t="str">
        <f>"王裕首"</f>
        <v>王裕首</v>
      </c>
      <c r="F667" s="5" t="str">
        <f>"男"</f>
        <v>男</v>
      </c>
      <c r="G667" s="5" t="str">
        <f>"1989-05-06"</f>
        <v>1989-05-06</v>
      </c>
      <c r="H667" s="5" t="str">
        <f>"安徽理工大学"</f>
        <v>安徽理工大学</v>
      </c>
    </row>
    <row r="668" s="2" customFormat="1" ht="20" customHeight="1" spans="1:8">
      <c r="A668" s="5">
        <v>666</v>
      </c>
      <c r="B668" s="5" t="str">
        <f>"223220191126171012214319"</f>
        <v>223220191126171012214319</v>
      </c>
      <c r="C668" s="5" t="s">
        <v>35</v>
      </c>
      <c r="D668" s="5" t="s">
        <v>36</v>
      </c>
      <c r="E668" s="5" t="str">
        <f>"何美秀"</f>
        <v>何美秀</v>
      </c>
      <c r="F668" s="5" t="str">
        <f>"女"</f>
        <v>女</v>
      </c>
      <c r="G668" s="5" t="str">
        <f>"1992-11-23"</f>
        <v>1992-11-23</v>
      </c>
      <c r="H668" s="5" t="str">
        <f>"长春大学光华学院"</f>
        <v>长春大学光华学院</v>
      </c>
    </row>
    <row r="669" s="2" customFormat="1" ht="20" customHeight="1" spans="1:8">
      <c r="A669" s="5">
        <v>667</v>
      </c>
      <c r="B669" s="5" t="str">
        <f>"223220191126171838214330"</f>
        <v>223220191126171838214330</v>
      </c>
      <c r="C669" s="5" t="s">
        <v>35</v>
      </c>
      <c r="D669" s="5" t="s">
        <v>36</v>
      </c>
      <c r="E669" s="5" t="str">
        <f>"欧方林"</f>
        <v>欧方林</v>
      </c>
      <c r="F669" s="5" t="str">
        <f t="shared" ref="F669:F674" si="185">"男"</f>
        <v>男</v>
      </c>
      <c r="G669" s="5" t="str">
        <f>"1994-10-24"</f>
        <v>1994-10-24</v>
      </c>
      <c r="H669" s="5" t="str">
        <f>"辽宁财贸学院"</f>
        <v>辽宁财贸学院</v>
      </c>
    </row>
    <row r="670" s="2" customFormat="1" ht="20" customHeight="1" spans="1:8">
      <c r="A670" s="5">
        <v>668</v>
      </c>
      <c r="B670" s="5" t="str">
        <f>"223220191126182126214458"</f>
        <v>223220191126182126214458</v>
      </c>
      <c r="C670" s="5" t="s">
        <v>35</v>
      </c>
      <c r="D670" s="5" t="s">
        <v>36</v>
      </c>
      <c r="E670" s="5" t="str">
        <f>"吴万强"</f>
        <v>吴万强</v>
      </c>
      <c r="F670" s="5" t="str">
        <f t="shared" si="185"/>
        <v>男</v>
      </c>
      <c r="G670" s="5" t="str">
        <f>"1994-09-17"</f>
        <v>1994-09-17</v>
      </c>
      <c r="H670" s="5" t="str">
        <f>"中北大学"</f>
        <v>中北大学</v>
      </c>
    </row>
    <row r="671" s="2" customFormat="1" ht="20" customHeight="1" spans="1:8">
      <c r="A671" s="5">
        <v>669</v>
      </c>
      <c r="B671" s="5" t="str">
        <f>"223220191126200716214623"</f>
        <v>223220191126200716214623</v>
      </c>
      <c r="C671" s="5" t="s">
        <v>35</v>
      </c>
      <c r="D671" s="5" t="s">
        <v>36</v>
      </c>
      <c r="E671" s="5" t="str">
        <f>"王雪娟"</f>
        <v>王雪娟</v>
      </c>
      <c r="F671" s="5" t="str">
        <f t="shared" ref="F671:F677" si="186">"女"</f>
        <v>女</v>
      </c>
      <c r="G671" s="5" t="str">
        <f>"1992-10-12"</f>
        <v>1992-10-12</v>
      </c>
      <c r="H671" s="5" t="str">
        <f>"景德镇陶瓷学院"</f>
        <v>景德镇陶瓷学院</v>
      </c>
    </row>
    <row r="672" s="2" customFormat="1" ht="20" customHeight="1" spans="1:8">
      <c r="A672" s="5">
        <v>670</v>
      </c>
      <c r="B672" s="5" t="str">
        <f>"223220191126203714214674"</f>
        <v>223220191126203714214674</v>
      </c>
      <c r="C672" s="5" t="s">
        <v>35</v>
      </c>
      <c r="D672" s="5" t="s">
        <v>36</v>
      </c>
      <c r="E672" s="5" t="str">
        <f>"羊兴敏"</f>
        <v>羊兴敏</v>
      </c>
      <c r="F672" s="5" t="str">
        <f t="shared" ref="F672:F674" si="187">"男"</f>
        <v>男</v>
      </c>
      <c r="G672" s="5" t="str">
        <f>"1994-05-25"</f>
        <v>1994-05-25</v>
      </c>
      <c r="H672" s="5" t="str">
        <f>"北京城市学院"</f>
        <v>北京城市学院</v>
      </c>
    </row>
    <row r="673" s="2" customFormat="1" ht="20" customHeight="1" spans="1:8">
      <c r="A673" s="5">
        <v>671</v>
      </c>
      <c r="B673" s="5" t="str">
        <f>"223220191126204349214683"</f>
        <v>223220191126204349214683</v>
      </c>
      <c r="C673" s="5" t="s">
        <v>35</v>
      </c>
      <c r="D673" s="5" t="s">
        <v>36</v>
      </c>
      <c r="E673" s="5" t="str">
        <f>"吴位显"</f>
        <v>吴位显</v>
      </c>
      <c r="F673" s="5" t="str">
        <f t="shared" si="187"/>
        <v>男</v>
      </c>
      <c r="G673" s="5" t="str">
        <f>"1989-12-25"</f>
        <v>1989-12-25</v>
      </c>
      <c r="H673" s="5" t="str">
        <f>"中国地质大学长城学院"</f>
        <v>中国地质大学长城学院</v>
      </c>
    </row>
    <row r="674" s="2" customFormat="1" ht="20" customHeight="1" spans="1:8">
      <c r="A674" s="5">
        <v>672</v>
      </c>
      <c r="B674" s="5" t="str">
        <f>"223220191126212240214764"</f>
        <v>223220191126212240214764</v>
      </c>
      <c r="C674" s="5" t="s">
        <v>35</v>
      </c>
      <c r="D674" s="5" t="s">
        <v>36</v>
      </c>
      <c r="E674" s="5" t="str">
        <f>"罗初洪"</f>
        <v>罗初洪</v>
      </c>
      <c r="F674" s="5" t="str">
        <f t="shared" si="187"/>
        <v>男</v>
      </c>
      <c r="G674" s="5" t="str">
        <f>"1991-02-08"</f>
        <v>1991-02-08</v>
      </c>
      <c r="H674" s="5" t="str">
        <f>"石家庄经济学院"</f>
        <v>石家庄经济学院</v>
      </c>
    </row>
    <row r="675" s="2" customFormat="1" ht="20" customHeight="1" spans="1:8">
      <c r="A675" s="5">
        <v>673</v>
      </c>
      <c r="B675" s="5" t="str">
        <f>"223220191126232637214938"</f>
        <v>223220191126232637214938</v>
      </c>
      <c r="C675" s="5" t="s">
        <v>35</v>
      </c>
      <c r="D675" s="5" t="s">
        <v>36</v>
      </c>
      <c r="E675" s="5" t="str">
        <f>"李春美"</f>
        <v>李春美</v>
      </c>
      <c r="F675" s="5" t="str">
        <f t="shared" ref="F675:F677" si="188">"女"</f>
        <v>女</v>
      </c>
      <c r="G675" s="5" t="str">
        <f>"1990-11-20"</f>
        <v>1990-11-20</v>
      </c>
      <c r="H675" s="5" t="str">
        <f>"海南大学"</f>
        <v>海南大学</v>
      </c>
    </row>
    <row r="676" s="2" customFormat="1" ht="20" customHeight="1" spans="1:8">
      <c r="A676" s="5">
        <v>674</v>
      </c>
      <c r="B676" s="5" t="str">
        <f>"223220191127083600215015"</f>
        <v>223220191127083600215015</v>
      </c>
      <c r="C676" s="5" t="s">
        <v>35</v>
      </c>
      <c r="D676" s="5" t="s">
        <v>36</v>
      </c>
      <c r="E676" s="5" t="str">
        <f>"梅国英"</f>
        <v>梅国英</v>
      </c>
      <c r="F676" s="5" t="str">
        <f t="shared" si="188"/>
        <v>女</v>
      </c>
      <c r="G676" s="5" t="str">
        <f>"1990-09-30"</f>
        <v>1990-09-30</v>
      </c>
      <c r="H676" s="5" t="str">
        <f>"衡阳师范学院南岳学院"</f>
        <v>衡阳师范学院南岳学院</v>
      </c>
    </row>
    <row r="677" s="2" customFormat="1" ht="20" customHeight="1" spans="1:8">
      <c r="A677" s="5">
        <v>675</v>
      </c>
      <c r="B677" s="5" t="str">
        <f>"223220191127102042215197"</f>
        <v>223220191127102042215197</v>
      </c>
      <c r="C677" s="5" t="s">
        <v>35</v>
      </c>
      <c r="D677" s="5" t="s">
        <v>36</v>
      </c>
      <c r="E677" s="5" t="str">
        <f>"吴维妃"</f>
        <v>吴维妃</v>
      </c>
      <c r="F677" s="5" t="str">
        <f t="shared" si="188"/>
        <v>女</v>
      </c>
      <c r="G677" s="5" t="str">
        <f>"1995-04-23"</f>
        <v>1995-04-23</v>
      </c>
      <c r="H677" s="5" t="str">
        <f>"辽宁财贸学院"</f>
        <v>辽宁财贸学院</v>
      </c>
    </row>
    <row r="678" s="2" customFormat="1" ht="20" customHeight="1" spans="1:8">
      <c r="A678" s="5">
        <v>676</v>
      </c>
      <c r="B678" s="5" t="str">
        <f>"223220191127102815215214"</f>
        <v>223220191127102815215214</v>
      </c>
      <c r="C678" s="5" t="s">
        <v>35</v>
      </c>
      <c r="D678" s="5" t="s">
        <v>36</v>
      </c>
      <c r="E678" s="5" t="str">
        <f>"符华豪"</f>
        <v>符华豪</v>
      </c>
      <c r="F678" s="5" t="str">
        <f t="shared" ref="F678:F681" si="189">"男"</f>
        <v>男</v>
      </c>
      <c r="G678" s="5" t="str">
        <f>"1988-09-01"</f>
        <v>1988-09-01</v>
      </c>
      <c r="H678" s="5" t="str">
        <f>"贵州大学"</f>
        <v>贵州大学</v>
      </c>
    </row>
    <row r="679" s="2" customFormat="1" ht="20" customHeight="1" spans="1:8">
      <c r="A679" s="5">
        <v>677</v>
      </c>
      <c r="B679" s="5" t="str">
        <f>"223220191127103250215220"</f>
        <v>223220191127103250215220</v>
      </c>
      <c r="C679" s="5" t="s">
        <v>35</v>
      </c>
      <c r="D679" s="5" t="s">
        <v>36</v>
      </c>
      <c r="E679" s="5" t="str">
        <f>"刘永烈"</f>
        <v>刘永烈</v>
      </c>
      <c r="F679" s="5" t="str">
        <f t="shared" si="189"/>
        <v>男</v>
      </c>
      <c r="G679" s="5" t="str">
        <f>"1987-11-14"</f>
        <v>1987-11-14</v>
      </c>
      <c r="H679" s="5" t="str">
        <f>"福建师范大学"</f>
        <v>福建师范大学</v>
      </c>
    </row>
    <row r="680" s="2" customFormat="1" ht="20" customHeight="1" spans="1:8">
      <c r="A680" s="5">
        <v>678</v>
      </c>
      <c r="B680" s="5" t="str">
        <f>"223220191127104339215237"</f>
        <v>223220191127104339215237</v>
      </c>
      <c r="C680" s="5" t="s">
        <v>35</v>
      </c>
      <c r="D680" s="5" t="s">
        <v>36</v>
      </c>
      <c r="E680" s="5" t="str">
        <f>"梁建民"</f>
        <v>梁建民</v>
      </c>
      <c r="F680" s="5" t="str">
        <f t="shared" si="189"/>
        <v>男</v>
      </c>
      <c r="G680" s="5" t="str">
        <f>"1993-05-04"</f>
        <v>1993-05-04</v>
      </c>
      <c r="H680" s="5" t="str">
        <f>"井冈山大学"</f>
        <v>井冈山大学</v>
      </c>
    </row>
    <row r="681" s="2" customFormat="1" ht="20" customHeight="1" spans="1:8">
      <c r="A681" s="5">
        <v>679</v>
      </c>
      <c r="B681" s="5" t="str">
        <f>"223220191127114036215335"</f>
        <v>223220191127114036215335</v>
      </c>
      <c r="C681" s="5" t="s">
        <v>35</v>
      </c>
      <c r="D681" s="5" t="s">
        <v>36</v>
      </c>
      <c r="E681" s="5" t="str">
        <f>"吴俊亮"</f>
        <v>吴俊亮</v>
      </c>
      <c r="F681" s="5" t="str">
        <f t="shared" si="189"/>
        <v>男</v>
      </c>
      <c r="G681" s="5" t="str">
        <f>"1994-11-03"</f>
        <v>1994-11-03</v>
      </c>
      <c r="H681" s="5" t="str">
        <f>"辽宁财贸学院"</f>
        <v>辽宁财贸学院</v>
      </c>
    </row>
    <row r="682" s="2" customFormat="1" ht="20" customHeight="1" spans="1:8">
      <c r="A682" s="5">
        <v>680</v>
      </c>
      <c r="B682" s="5" t="str">
        <f>"223220191127115848215366"</f>
        <v>223220191127115848215366</v>
      </c>
      <c r="C682" s="5" t="s">
        <v>35</v>
      </c>
      <c r="D682" s="5" t="s">
        <v>36</v>
      </c>
      <c r="E682" s="5" t="str">
        <f>"黎秋荣"</f>
        <v>黎秋荣</v>
      </c>
      <c r="F682" s="5" t="str">
        <f t="shared" ref="F682:F685" si="190">"女"</f>
        <v>女</v>
      </c>
      <c r="G682" s="5" t="str">
        <f>"1985-05-17"</f>
        <v>1985-05-17</v>
      </c>
      <c r="H682" s="5" t="str">
        <f>"江西中医学院科技学院"</f>
        <v>江西中医学院科技学院</v>
      </c>
    </row>
    <row r="683" s="2" customFormat="1" ht="20" customHeight="1" spans="1:8">
      <c r="A683" s="5">
        <v>681</v>
      </c>
      <c r="B683" s="5" t="str">
        <f>"223220191127122009215388"</f>
        <v>223220191127122009215388</v>
      </c>
      <c r="C683" s="5" t="s">
        <v>35</v>
      </c>
      <c r="D683" s="5" t="s">
        <v>36</v>
      </c>
      <c r="E683" s="5" t="str">
        <f>"符丽"</f>
        <v>符丽</v>
      </c>
      <c r="F683" s="5" t="str">
        <f t="shared" si="190"/>
        <v>女</v>
      </c>
      <c r="G683" s="5" t="str">
        <f>"1992-07-21"</f>
        <v>1992-07-21</v>
      </c>
      <c r="H683" s="5" t="str">
        <f>"华南农业大学珠江学院"</f>
        <v>华南农业大学珠江学院</v>
      </c>
    </row>
    <row r="684" s="2" customFormat="1" ht="20" customHeight="1" spans="1:8">
      <c r="A684" s="5">
        <v>682</v>
      </c>
      <c r="B684" s="5" t="str">
        <f>"223220191127122020215389"</f>
        <v>223220191127122020215389</v>
      </c>
      <c r="C684" s="5" t="s">
        <v>35</v>
      </c>
      <c r="D684" s="5" t="s">
        <v>36</v>
      </c>
      <c r="E684" s="5" t="str">
        <f>"邓国文"</f>
        <v>邓国文</v>
      </c>
      <c r="F684" s="5" t="str">
        <f t="shared" ref="F684:F690" si="191">"男"</f>
        <v>男</v>
      </c>
      <c r="G684" s="5" t="str">
        <f>"1995-07-01"</f>
        <v>1995-07-01</v>
      </c>
      <c r="H684" s="5" t="str">
        <f>"海口经济学院"</f>
        <v>海口经济学院</v>
      </c>
    </row>
    <row r="685" s="2" customFormat="1" ht="20" customHeight="1" spans="1:8">
      <c r="A685" s="5">
        <v>683</v>
      </c>
      <c r="B685" s="5" t="str">
        <f>"223220191127151849215617"</f>
        <v>223220191127151849215617</v>
      </c>
      <c r="C685" s="5" t="s">
        <v>35</v>
      </c>
      <c r="D685" s="5" t="s">
        <v>36</v>
      </c>
      <c r="E685" s="5" t="str">
        <f>"廖廷秋"</f>
        <v>廖廷秋</v>
      </c>
      <c r="F685" s="5" t="str">
        <f>"女"</f>
        <v>女</v>
      </c>
      <c r="G685" s="5" t="str">
        <f>"1994-04-24"</f>
        <v>1994-04-24</v>
      </c>
      <c r="H685" s="5" t="str">
        <f>"海南大学"</f>
        <v>海南大学</v>
      </c>
    </row>
    <row r="686" s="2" customFormat="1" ht="20" customHeight="1" spans="1:8">
      <c r="A686" s="5">
        <v>684</v>
      </c>
      <c r="B686" s="5" t="str">
        <f>"223220191127155355215672"</f>
        <v>223220191127155355215672</v>
      </c>
      <c r="C686" s="5" t="s">
        <v>35</v>
      </c>
      <c r="D686" s="5" t="s">
        <v>36</v>
      </c>
      <c r="E686" s="5" t="str">
        <f>"苏敏文"</f>
        <v>苏敏文</v>
      </c>
      <c r="F686" s="5" t="str">
        <f t="shared" ref="F686:F690" si="192">"男"</f>
        <v>男</v>
      </c>
      <c r="G686" s="5" t="str">
        <f>"1994-06-05"</f>
        <v>1994-06-05</v>
      </c>
      <c r="H686" s="5" t="str">
        <f>"运城学院"</f>
        <v>运城学院</v>
      </c>
    </row>
    <row r="687" s="2" customFormat="1" ht="20" customHeight="1" spans="1:8">
      <c r="A687" s="5">
        <v>685</v>
      </c>
      <c r="B687" s="5" t="str">
        <f>"223220191127171530215811"</f>
        <v>223220191127171530215811</v>
      </c>
      <c r="C687" s="5" t="s">
        <v>35</v>
      </c>
      <c r="D687" s="5" t="s">
        <v>36</v>
      </c>
      <c r="E687" s="5" t="str">
        <f>"郑艳艳"</f>
        <v>郑艳艳</v>
      </c>
      <c r="F687" s="5" t="str">
        <f t="shared" ref="F687:F692" si="193">"女"</f>
        <v>女</v>
      </c>
      <c r="G687" s="5" t="str">
        <f>"1995-12-01"</f>
        <v>1995-12-01</v>
      </c>
      <c r="H687" s="5" t="str">
        <f>"海口经济学院"</f>
        <v>海口经济学院</v>
      </c>
    </row>
    <row r="688" s="2" customFormat="1" ht="20" customHeight="1" spans="1:8">
      <c r="A688" s="5">
        <v>686</v>
      </c>
      <c r="B688" s="5" t="str">
        <f>"223220191127182144215893"</f>
        <v>223220191127182144215893</v>
      </c>
      <c r="C688" s="5" t="s">
        <v>35</v>
      </c>
      <c r="D688" s="5" t="s">
        <v>36</v>
      </c>
      <c r="E688" s="5" t="str">
        <f>"梁皇燕"</f>
        <v>梁皇燕</v>
      </c>
      <c r="F688" s="5" t="str">
        <f>"男"</f>
        <v>男</v>
      </c>
      <c r="G688" s="5" t="str">
        <f>"1996-06-07"</f>
        <v>1996-06-07</v>
      </c>
      <c r="H688" s="5" t="str">
        <f>"忻州师范学院"</f>
        <v>忻州师范学院</v>
      </c>
    </row>
    <row r="689" s="2" customFormat="1" ht="20" customHeight="1" spans="1:8">
      <c r="A689" s="5">
        <v>687</v>
      </c>
      <c r="B689" s="5" t="str">
        <f>"223220191127194841215986"</f>
        <v>223220191127194841215986</v>
      </c>
      <c r="C689" s="5" t="s">
        <v>35</v>
      </c>
      <c r="D689" s="5" t="s">
        <v>36</v>
      </c>
      <c r="E689" s="5" t="str">
        <f>"李岳林"</f>
        <v>李岳林</v>
      </c>
      <c r="F689" s="5" t="str">
        <f>"男"</f>
        <v>男</v>
      </c>
      <c r="G689" s="5" t="str">
        <f>"1993-04-12"</f>
        <v>1993-04-12</v>
      </c>
      <c r="H689" s="5" t="str">
        <f>"盐城工学院"</f>
        <v>盐城工学院</v>
      </c>
    </row>
    <row r="690" s="2" customFormat="1" ht="20" customHeight="1" spans="1:8">
      <c r="A690" s="5">
        <v>688</v>
      </c>
      <c r="B690" s="5" t="str">
        <f>"223220191127203331216056"</f>
        <v>223220191127203331216056</v>
      </c>
      <c r="C690" s="5" t="s">
        <v>35</v>
      </c>
      <c r="D690" s="5" t="s">
        <v>36</v>
      </c>
      <c r="E690" s="5" t="str">
        <f>"薛本敏"</f>
        <v>薛本敏</v>
      </c>
      <c r="F690" s="5" t="str">
        <f>"男"</f>
        <v>男</v>
      </c>
      <c r="G690" s="5" t="str">
        <f>"1995-12-23"</f>
        <v>1995-12-23</v>
      </c>
      <c r="H690" s="5" t="str">
        <f>"黑龙江大学"</f>
        <v>黑龙江大学</v>
      </c>
    </row>
    <row r="691" s="2" customFormat="1" ht="20" customHeight="1" spans="1:8">
      <c r="A691" s="5">
        <v>689</v>
      </c>
      <c r="B691" s="5" t="str">
        <f>"223220191127211834216121"</f>
        <v>223220191127211834216121</v>
      </c>
      <c r="C691" s="5" t="s">
        <v>35</v>
      </c>
      <c r="D691" s="5" t="s">
        <v>36</v>
      </c>
      <c r="E691" s="5" t="str">
        <f>"郑海丽"</f>
        <v>郑海丽</v>
      </c>
      <c r="F691" s="5" t="str">
        <f>"女"</f>
        <v>女</v>
      </c>
      <c r="G691" s="5" t="str">
        <f>"1993-08-08"</f>
        <v>1993-08-08</v>
      </c>
      <c r="H691" s="5" t="str">
        <f>"商丘师范学院"</f>
        <v>商丘师范学院</v>
      </c>
    </row>
    <row r="692" s="2" customFormat="1" ht="20" customHeight="1" spans="1:8">
      <c r="A692" s="5">
        <v>690</v>
      </c>
      <c r="B692" s="5" t="str">
        <f>"223220191127222719216202"</f>
        <v>223220191127222719216202</v>
      </c>
      <c r="C692" s="5" t="s">
        <v>35</v>
      </c>
      <c r="D692" s="5" t="s">
        <v>36</v>
      </c>
      <c r="E692" s="5" t="str">
        <f>"张耀妍"</f>
        <v>张耀妍</v>
      </c>
      <c r="F692" s="5" t="str">
        <f>"女"</f>
        <v>女</v>
      </c>
      <c r="G692" s="5" t="str">
        <f>"1991-09-07"</f>
        <v>1991-09-07</v>
      </c>
      <c r="H692" s="5" t="str">
        <f>"海南热带海洋学院"</f>
        <v>海南热带海洋学院</v>
      </c>
    </row>
    <row r="693" s="2" customFormat="1" ht="20" customHeight="1" spans="1:8">
      <c r="A693" s="5">
        <v>691</v>
      </c>
      <c r="B693" s="5" t="str">
        <f>"223220191128001306216272"</f>
        <v>223220191128001306216272</v>
      </c>
      <c r="C693" s="5" t="s">
        <v>35</v>
      </c>
      <c r="D693" s="5" t="s">
        <v>36</v>
      </c>
      <c r="E693" s="5" t="str">
        <f>"吴斌"</f>
        <v>吴斌</v>
      </c>
      <c r="F693" s="5" t="str">
        <f t="shared" ref="F693:F697" si="194">"男"</f>
        <v>男</v>
      </c>
      <c r="G693" s="5" t="str">
        <f>"1990-10-25"</f>
        <v>1990-10-25</v>
      </c>
      <c r="H693" s="5" t="str">
        <f>"四川外国语大学重庆南方翻译学院"</f>
        <v>四川外国语大学重庆南方翻译学院</v>
      </c>
    </row>
    <row r="694" s="2" customFormat="1" ht="20" customHeight="1" spans="1:8">
      <c r="A694" s="5">
        <v>692</v>
      </c>
      <c r="B694" s="5" t="str">
        <f>"223220191128085139216325"</f>
        <v>223220191128085139216325</v>
      </c>
      <c r="C694" s="5" t="s">
        <v>35</v>
      </c>
      <c r="D694" s="5" t="s">
        <v>36</v>
      </c>
      <c r="E694" s="5" t="str">
        <f>"李琼亮"</f>
        <v>李琼亮</v>
      </c>
      <c r="F694" s="5" t="str">
        <f t="shared" si="194"/>
        <v>男</v>
      </c>
      <c r="G694" s="5" t="str">
        <f>"1997-09-02"</f>
        <v>1997-09-02</v>
      </c>
      <c r="H694" s="5" t="str">
        <f>"海南大学"</f>
        <v>海南大学</v>
      </c>
    </row>
    <row r="695" s="2" customFormat="1" ht="20" customHeight="1" spans="1:8">
      <c r="A695" s="5">
        <v>693</v>
      </c>
      <c r="B695" s="5" t="str">
        <f>"223220191128103113216477"</f>
        <v>223220191128103113216477</v>
      </c>
      <c r="C695" s="5" t="s">
        <v>35</v>
      </c>
      <c r="D695" s="5" t="s">
        <v>36</v>
      </c>
      <c r="E695" s="5" t="str">
        <f>"苏华相"</f>
        <v>苏华相</v>
      </c>
      <c r="F695" s="5" t="str">
        <f t="shared" si="194"/>
        <v>男</v>
      </c>
      <c r="G695" s="5" t="str">
        <f>"1996-08-10"</f>
        <v>1996-08-10</v>
      </c>
      <c r="H695" s="5" t="str">
        <f>"长春工业大学人文信息学院"</f>
        <v>长春工业大学人文信息学院</v>
      </c>
    </row>
    <row r="696" s="2" customFormat="1" ht="20" customHeight="1" spans="1:8">
      <c r="A696" s="5">
        <v>694</v>
      </c>
      <c r="B696" s="5" t="str">
        <f>"223220191128122925216629"</f>
        <v>223220191128122925216629</v>
      </c>
      <c r="C696" s="5" t="s">
        <v>35</v>
      </c>
      <c r="D696" s="5" t="s">
        <v>36</v>
      </c>
      <c r="E696" s="5" t="str">
        <f>"王启威"</f>
        <v>王启威</v>
      </c>
      <c r="F696" s="5" t="str">
        <f t="shared" si="194"/>
        <v>男</v>
      </c>
      <c r="G696" s="5" t="str">
        <f>"1994-08-06"</f>
        <v>1994-08-06</v>
      </c>
      <c r="H696" s="5" t="str">
        <f>"海口经济学院"</f>
        <v>海口经济学院</v>
      </c>
    </row>
    <row r="697" s="2" customFormat="1" ht="20" customHeight="1" spans="1:8">
      <c r="A697" s="5">
        <v>695</v>
      </c>
      <c r="B697" s="5" t="str">
        <f>"223220191128150427216820"</f>
        <v>223220191128150427216820</v>
      </c>
      <c r="C697" s="5" t="s">
        <v>35</v>
      </c>
      <c r="D697" s="5" t="s">
        <v>36</v>
      </c>
      <c r="E697" s="5" t="str">
        <f>"谢晓多"</f>
        <v>谢晓多</v>
      </c>
      <c r="F697" s="5" t="str">
        <f t="shared" si="194"/>
        <v>男</v>
      </c>
      <c r="G697" s="5" t="str">
        <f>"1996-01-12"</f>
        <v>1996-01-12</v>
      </c>
      <c r="H697" s="5" t="str">
        <f>"大连大学"</f>
        <v>大连大学</v>
      </c>
    </row>
    <row r="698" s="2" customFormat="1" ht="20" customHeight="1" spans="1:8">
      <c r="A698" s="5">
        <v>696</v>
      </c>
      <c r="B698" s="5" t="str">
        <f>"223220191128152435216857"</f>
        <v>223220191128152435216857</v>
      </c>
      <c r="C698" s="5" t="s">
        <v>35</v>
      </c>
      <c r="D698" s="5" t="s">
        <v>36</v>
      </c>
      <c r="E698" s="5" t="str">
        <f>"徐丽丹"</f>
        <v>徐丽丹</v>
      </c>
      <c r="F698" s="5" t="str">
        <f t="shared" ref="F698:F700" si="195">"女"</f>
        <v>女</v>
      </c>
      <c r="G698" s="5" t="str">
        <f>"1993-04-15"</f>
        <v>1993-04-15</v>
      </c>
      <c r="H698" s="5" t="str">
        <f>"海南医学院"</f>
        <v>海南医学院</v>
      </c>
    </row>
    <row r="699" s="2" customFormat="1" ht="20" customHeight="1" spans="1:8">
      <c r="A699" s="5">
        <v>697</v>
      </c>
      <c r="B699" s="5" t="str">
        <f>"223220191128161802216939"</f>
        <v>223220191128161802216939</v>
      </c>
      <c r="C699" s="5" t="s">
        <v>35</v>
      </c>
      <c r="D699" s="5" t="s">
        <v>36</v>
      </c>
      <c r="E699" s="5" t="str">
        <f>"邓琼娜"</f>
        <v>邓琼娜</v>
      </c>
      <c r="F699" s="5" t="str">
        <f t="shared" si="195"/>
        <v>女</v>
      </c>
      <c r="G699" s="5" t="str">
        <f>"1997-02-10"</f>
        <v>1997-02-10</v>
      </c>
      <c r="H699" s="5" t="str">
        <f>"河南科技大学"</f>
        <v>河南科技大学</v>
      </c>
    </row>
    <row r="700" s="2" customFormat="1" ht="20" customHeight="1" spans="1:8">
      <c r="A700" s="5">
        <v>698</v>
      </c>
      <c r="B700" s="5" t="str">
        <f>"223220191128174655217036"</f>
        <v>223220191128174655217036</v>
      </c>
      <c r="C700" s="5" t="s">
        <v>35</v>
      </c>
      <c r="D700" s="5" t="s">
        <v>36</v>
      </c>
      <c r="E700" s="5" t="str">
        <f>"鲍景丽"</f>
        <v>鲍景丽</v>
      </c>
      <c r="F700" s="5" t="str">
        <f t="shared" si="195"/>
        <v>女</v>
      </c>
      <c r="G700" s="5" t="str">
        <f>"1992-04-15"</f>
        <v>1992-04-15</v>
      </c>
      <c r="H700" s="5" t="str">
        <f>"吉首大学"</f>
        <v>吉首大学</v>
      </c>
    </row>
    <row r="701" s="2" customFormat="1" ht="20" customHeight="1" spans="1:8">
      <c r="A701" s="5">
        <v>699</v>
      </c>
      <c r="B701" s="5" t="str">
        <f>"223220191128174714217038"</f>
        <v>223220191128174714217038</v>
      </c>
      <c r="C701" s="5" t="s">
        <v>35</v>
      </c>
      <c r="D701" s="5" t="s">
        <v>36</v>
      </c>
      <c r="E701" s="5" t="str">
        <f>"周臣"</f>
        <v>周臣</v>
      </c>
      <c r="F701" s="5" t="str">
        <f t="shared" ref="F701:F705" si="196">"男"</f>
        <v>男</v>
      </c>
      <c r="G701" s="5" t="str">
        <f>"1994-01-15"</f>
        <v>1994-01-15</v>
      </c>
      <c r="H701" s="5" t="str">
        <f>"海南热带海洋学院"</f>
        <v>海南热带海洋学院</v>
      </c>
    </row>
    <row r="702" s="2" customFormat="1" ht="20" customHeight="1" spans="1:8">
      <c r="A702" s="5">
        <v>700</v>
      </c>
      <c r="B702" s="5" t="str">
        <f>"223220191128180521217054"</f>
        <v>223220191128180521217054</v>
      </c>
      <c r="C702" s="5" t="s">
        <v>35</v>
      </c>
      <c r="D702" s="5" t="s">
        <v>36</v>
      </c>
      <c r="E702" s="5" t="str">
        <f>"刘雪英"</f>
        <v>刘雪英</v>
      </c>
      <c r="F702" s="5" t="str">
        <f>"女"</f>
        <v>女</v>
      </c>
      <c r="G702" s="5" t="str">
        <f>"1993-08-24"</f>
        <v>1993-08-24</v>
      </c>
      <c r="H702" s="5" t="str">
        <f>"广西外国语学院"</f>
        <v>广西外国语学院</v>
      </c>
    </row>
    <row r="703" s="2" customFormat="1" ht="20" customHeight="1" spans="1:8">
      <c r="A703" s="5">
        <v>701</v>
      </c>
      <c r="B703" s="5" t="str">
        <f>"223220191128190855217081"</f>
        <v>223220191128190855217081</v>
      </c>
      <c r="C703" s="5" t="s">
        <v>35</v>
      </c>
      <c r="D703" s="5" t="s">
        <v>36</v>
      </c>
      <c r="E703" s="5" t="str">
        <f>"华琛"</f>
        <v>华琛</v>
      </c>
      <c r="F703" s="5" t="str">
        <f t="shared" ref="F703:F705" si="197">"男"</f>
        <v>男</v>
      </c>
      <c r="G703" s="5" t="str">
        <f>"1996-04-12"</f>
        <v>1996-04-12</v>
      </c>
      <c r="H703" s="5" t="str">
        <f>"西北民族大学"</f>
        <v>西北民族大学</v>
      </c>
    </row>
    <row r="704" s="2" customFormat="1" ht="20" customHeight="1" spans="1:8">
      <c r="A704" s="5">
        <v>702</v>
      </c>
      <c r="B704" s="5" t="str">
        <f>"223220191128201619217139"</f>
        <v>223220191128201619217139</v>
      </c>
      <c r="C704" s="5" t="s">
        <v>35</v>
      </c>
      <c r="D704" s="5" t="s">
        <v>36</v>
      </c>
      <c r="E704" s="5" t="str">
        <f>"蔡冠生"</f>
        <v>蔡冠生</v>
      </c>
      <c r="F704" s="5" t="str">
        <f t="shared" si="197"/>
        <v>男</v>
      </c>
      <c r="G704" s="5" t="str">
        <f>"1992-04-26"</f>
        <v>1992-04-26</v>
      </c>
      <c r="H704" s="5" t="str">
        <f>"海南大学"</f>
        <v>海南大学</v>
      </c>
    </row>
    <row r="705" s="2" customFormat="1" ht="20" customHeight="1" spans="1:8">
      <c r="A705" s="5">
        <v>703</v>
      </c>
      <c r="B705" s="5" t="str">
        <f>"223220191128212347217193"</f>
        <v>223220191128212347217193</v>
      </c>
      <c r="C705" s="5" t="s">
        <v>35</v>
      </c>
      <c r="D705" s="5" t="s">
        <v>36</v>
      </c>
      <c r="E705" s="5" t="str">
        <f>"吴广猷"</f>
        <v>吴广猷</v>
      </c>
      <c r="F705" s="5" t="str">
        <f t="shared" si="197"/>
        <v>男</v>
      </c>
      <c r="G705" s="5" t="str">
        <f>"1994-08-08"</f>
        <v>1994-08-08</v>
      </c>
      <c r="H705" s="5" t="str">
        <f>"西北师范大学"</f>
        <v>西北师范大学</v>
      </c>
    </row>
    <row r="706" s="2" customFormat="1" ht="20" customHeight="1" spans="1:8">
      <c r="A706" s="5">
        <v>704</v>
      </c>
      <c r="B706" s="5" t="str">
        <f>"223220191128213815217205"</f>
        <v>223220191128213815217205</v>
      </c>
      <c r="C706" s="5" t="s">
        <v>35</v>
      </c>
      <c r="D706" s="5" t="s">
        <v>36</v>
      </c>
      <c r="E706" s="5" t="str">
        <f>"符纯"</f>
        <v>符纯</v>
      </c>
      <c r="F706" s="5" t="str">
        <f>"女"</f>
        <v>女</v>
      </c>
      <c r="G706" s="5" t="str">
        <f>"1991-11-16"</f>
        <v>1991-11-16</v>
      </c>
      <c r="H706" s="5" t="str">
        <f>"长春师范大学"</f>
        <v>长春师范大学</v>
      </c>
    </row>
    <row r="707" s="2" customFormat="1" ht="20" customHeight="1" spans="1:8">
      <c r="A707" s="5">
        <v>705</v>
      </c>
      <c r="B707" s="5" t="str">
        <f>"223220191128235334217291"</f>
        <v>223220191128235334217291</v>
      </c>
      <c r="C707" s="5" t="s">
        <v>35</v>
      </c>
      <c r="D707" s="5" t="s">
        <v>36</v>
      </c>
      <c r="E707" s="5" t="str">
        <f>"吴永兴"</f>
        <v>吴永兴</v>
      </c>
      <c r="F707" s="5" t="str">
        <f t="shared" ref="F707:F709" si="198">"男"</f>
        <v>男</v>
      </c>
      <c r="G707" s="5" t="str">
        <f>"1985-02-03"</f>
        <v>1985-02-03</v>
      </c>
      <c r="H707" s="5" t="str">
        <f>"黑龙江大学"</f>
        <v>黑龙江大学</v>
      </c>
    </row>
    <row r="708" s="2" customFormat="1" ht="20" customHeight="1" spans="1:8">
      <c r="A708" s="5">
        <v>706</v>
      </c>
      <c r="B708" s="5" t="str">
        <f>"223220191129103807217416"</f>
        <v>223220191129103807217416</v>
      </c>
      <c r="C708" s="5" t="s">
        <v>35</v>
      </c>
      <c r="D708" s="5" t="s">
        <v>36</v>
      </c>
      <c r="E708" s="5" t="str">
        <f>"洪冠勤"</f>
        <v>洪冠勤</v>
      </c>
      <c r="F708" s="5" t="str">
        <f t="shared" si="198"/>
        <v>男</v>
      </c>
      <c r="G708" s="5" t="str">
        <f>"1993-02-06"</f>
        <v>1993-02-06</v>
      </c>
      <c r="H708" s="5" t="str">
        <f>"合肥工业大学"</f>
        <v>合肥工业大学</v>
      </c>
    </row>
    <row r="709" s="2" customFormat="1" ht="20" customHeight="1" spans="1:8">
      <c r="A709" s="5">
        <v>707</v>
      </c>
      <c r="B709" s="5" t="str">
        <f>"223220191129110004217437"</f>
        <v>223220191129110004217437</v>
      </c>
      <c r="C709" s="5" t="s">
        <v>35</v>
      </c>
      <c r="D709" s="5" t="s">
        <v>36</v>
      </c>
      <c r="E709" s="5" t="str">
        <f>"黎传贤"</f>
        <v>黎传贤</v>
      </c>
      <c r="F709" s="5" t="str">
        <f t="shared" si="198"/>
        <v>男</v>
      </c>
      <c r="G709" s="5" t="str">
        <f>"1995-08-18"</f>
        <v>1995-08-18</v>
      </c>
      <c r="H709" s="5" t="str">
        <f>"海口经济学院"</f>
        <v>海口经济学院</v>
      </c>
    </row>
    <row r="710" s="2" customFormat="1" ht="20" customHeight="1" spans="1:8">
      <c r="A710" s="5">
        <v>708</v>
      </c>
      <c r="B710" s="5" t="str">
        <f>"223220191129121344217495"</f>
        <v>223220191129121344217495</v>
      </c>
      <c r="C710" s="5" t="s">
        <v>35</v>
      </c>
      <c r="D710" s="5" t="s">
        <v>36</v>
      </c>
      <c r="E710" s="5" t="str">
        <f>"叶海燕"</f>
        <v>叶海燕</v>
      </c>
      <c r="F710" s="5" t="str">
        <f t="shared" ref="F710:F714" si="199">"女"</f>
        <v>女</v>
      </c>
      <c r="G710" s="5" t="str">
        <f>"1990-02-05"</f>
        <v>1990-02-05</v>
      </c>
      <c r="H710" s="5" t="str">
        <f>"百色学院"</f>
        <v>百色学院</v>
      </c>
    </row>
    <row r="711" s="2" customFormat="1" ht="20" customHeight="1" spans="1:8">
      <c r="A711" s="5">
        <v>709</v>
      </c>
      <c r="B711" s="5" t="str">
        <f>"223220191129124817217514"</f>
        <v>223220191129124817217514</v>
      </c>
      <c r="C711" s="5" t="s">
        <v>35</v>
      </c>
      <c r="D711" s="5" t="s">
        <v>36</v>
      </c>
      <c r="E711" s="5" t="str">
        <f>"苏木助"</f>
        <v>苏木助</v>
      </c>
      <c r="F711" s="5" t="str">
        <f>"男"</f>
        <v>男</v>
      </c>
      <c r="G711" s="5" t="str">
        <f>"1990-07-20"</f>
        <v>1990-07-20</v>
      </c>
      <c r="H711" s="5" t="str">
        <f>"邵阳学院"</f>
        <v>邵阳学院</v>
      </c>
    </row>
    <row r="712" s="2" customFormat="1" ht="20" customHeight="1" spans="1:8">
      <c r="A712" s="5">
        <v>710</v>
      </c>
      <c r="B712" s="5" t="str">
        <f>"223220191129160447217636"</f>
        <v>223220191129160447217636</v>
      </c>
      <c r="C712" s="5" t="s">
        <v>35</v>
      </c>
      <c r="D712" s="5" t="s">
        <v>36</v>
      </c>
      <c r="E712" s="5" t="str">
        <f>"吴健婵"</f>
        <v>吴健婵</v>
      </c>
      <c r="F712" s="5" t="str">
        <f t="shared" ref="F712:F714" si="200">"女"</f>
        <v>女</v>
      </c>
      <c r="G712" s="5" t="str">
        <f>"1995-06-01"</f>
        <v>1995-06-01</v>
      </c>
      <c r="H712" s="5" t="str">
        <f>"信阳学院"</f>
        <v>信阳学院</v>
      </c>
    </row>
    <row r="713" s="2" customFormat="1" ht="20" customHeight="1" spans="1:8">
      <c r="A713" s="5">
        <v>711</v>
      </c>
      <c r="B713" s="5" t="str">
        <f>"223220191129160858217639"</f>
        <v>223220191129160858217639</v>
      </c>
      <c r="C713" s="5" t="s">
        <v>35</v>
      </c>
      <c r="D713" s="5" t="s">
        <v>36</v>
      </c>
      <c r="E713" s="5" t="str">
        <f>"谢鸿丽"</f>
        <v>谢鸿丽</v>
      </c>
      <c r="F713" s="5" t="str">
        <f t="shared" si="200"/>
        <v>女</v>
      </c>
      <c r="G713" s="5" t="str">
        <f>"1996-09-23"</f>
        <v>1996-09-23</v>
      </c>
      <c r="H713" s="5" t="str">
        <f>"哈尔滨商业大学"</f>
        <v>哈尔滨商业大学</v>
      </c>
    </row>
    <row r="714" s="2" customFormat="1" ht="20" customHeight="1" spans="1:8">
      <c r="A714" s="5">
        <v>712</v>
      </c>
      <c r="B714" s="5" t="str">
        <f>"223220191129165506217677"</f>
        <v>223220191129165506217677</v>
      </c>
      <c r="C714" s="5" t="s">
        <v>35</v>
      </c>
      <c r="D714" s="5" t="s">
        <v>36</v>
      </c>
      <c r="E714" s="5" t="str">
        <f>"李有娜"</f>
        <v>李有娜</v>
      </c>
      <c r="F714" s="5" t="str">
        <f t="shared" si="200"/>
        <v>女</v>
      </c>
      <c r="G714" s="5" t="str">
        <f>"1998-09-09"</f>
        <v>1998-09-09</v>
      </c>
      <c r="H714" s="5" t="str">
        <f>"桂林医学院"</f>
        <v>桂林医学院</v>
      </c>
    </row>
    <row r="715" s="2" customFormat="1" ht="20" customHeight="1" spans="1:8">
      <c r="A715" s="5">
        <v>713</v>
      </c>
      <c r="B715" s="5" t="str">
        <f>"223220191129220435217841"</f>
        <v>223220191129220435217841</v>
      </c>
      <c r="C715" s="5" t="s">
        <v>35</v>
      </c>
      <c r="D715" s="5" t="s">
        <v>36</v>
      </c>
      <c r="E715" s="5" t="str">
        <f>"王俞顺"</f>
        <v>王俞顺</v>
      </c>
      <c r="F715" s="5" t="str">
        <f t="shared" ref="F715:F719" si="201">"男"</f>
        <v>男</v>
      </c>
      <c r="G715" s="5" t="str">
        <f>"1993-09-11"</f>
        <v>1993-09-11</v>
      </c>
      <c r="H715" s="5" t="str">
        <f>"海南大学"</f>
        <v>海南大学</v>
      </c>
    </row>
    <row r="716" s="2" customFormat="1" ht="20" customHeight="1" spans="1:8">
      <c r="A716" s="5">
        <v>714</v>
      </c>
      <c r="B716" s="5" t="str">
        <f>"223220191129223704217860"</f>
        <v>223220191129223704217860</v>
      </c>
      <c r="C716" s="5" t="s">
        <v>35</v>
      </c>
      <c r="D716" s="5" t="s">
        <v>36</v>
      </c>
      <c r="E716" s="5" t="str">
        <f>"苏永丽"</f>
        <v>苏永丽</v>
      </c>
      <c r="F716" s="5" t="str">
        <f t="shared" ref="F716:F722" si="202">"女"</f>
        <v>女</v>
      </c>
      <c r="G716" s="5" t="str">
        <f>"1991-10-05"</f>
        <v>1991-10-05</v>
      </c>
      <c r="H716" s="5" t="str">
        <f>"西北师范大学"</f>
        <v>西北师范大学</v>
      </c>
    </row>
    <row r="717" s="2" customFormat="1" ht="20" customHeight="1" spans="1:8">
      <c r="A717" s="5">
        <v>715</v>
      </c>
      <c r="B717" s="5" t="str">
        <f>"223220191130113121218004"</f>
        <v>223220191130113121218004</v>
      </c>
      <c r="C717" s="5" t="s">
        <v>35</v>
      </c>
      <c r="D717" s="5" t="s">
        <v>36</v>
      </c>
      <c r="E717" s="5" t="str">
        <f>"蒲奕达"</f>
        <v>蒲奕达</v>
      </c>
      <c r="F717" s="5" t="str">
        <f t="shared" ref="F717:F719" si="203">"男"</f>
        <v>男</v>
      </c>
      <c r="G717" s="5" t="str">
        <f>"1992-10-26"</f>
        <v>1992-10-26</v>
      </c>
      <c r="H717" s="5" t="str">
        <f>"江西财经大学现代经济管理学院"</f>
        <v>江西财经大学现代经济管理学院</v>
      </c>
    </row>
    <row r="718" s="2" customFormat="1" ht="20" customHeight="1" spans="1:8">
      <c r="A718" s="5">
        <v>716</v>
      </c>
      <c r="B718" s="5" t="str">
        <f>"223220191130125920218043"</f>
        <v>223220191130125920218043</v>
      </c>
      <c r="C718" s="5" t="s">
        <v>35</v>
      </c>
      <c r="D718" s="5" t="s">
        <v>36</v>
      </c>
      <c r="E718" s="5" t="str">
        <f>"郭博精"</f>
        <v>郭博精</v>
      </c>
      <c r="F718" s="5" t="str">
        <f t="shared" si="203"/>
        <v>男</v>
      </c>
      <c r="G718" s="5" t="str">
        <f>"1993-07-04"</f>
        <v>1993-07-04</v>
      </c>
      <c r="H718" s="5" t="str">
        <f>"兰州财经大学"</f>
        <v>兰州财经大学</v>
      </c>
    </row>
    <row r="719" s="2" customFormat="1" ht="20" customHeight="1" spans="1:8">
      <c r="A719" s="5">
        <v>717</v>
      </c>
      <c r="B719" s="5" t="str">
        <f>"223220191130134149218060"</f>
        <v>223220191130134149218060</v>
      </c>
      <c r="C719" s="5" t="s">
        <v>35</v>
      </c>
      <c r="D719" s="5" t="s">
        <v>36</v>
      </c>
      <c r="E719" s="5" t="str">
        <f>"韦斌"</f>
        <v>韦斌</v>
      </c>
      <c r="F719" s="5" t="str">
        <f t="shared" si="203"/>
        <v>男</v>
      </c>
      <c r="G719" s="5" t="str">
        <f>"1994-06-18"</f>
        <v>1994-06-18</v>
      </c>
      <c r="H719" s="5" t="str">
        <f>"电子科技大学"</f>
        <v>电子科技大学</v>
      </c>
    </row>
    <row r="720" s="2" customFormat="1" ht="20" customHeight="1" spans="1:8">
      <c r="A720" s="5">
        <v>718</v>
      </c>
      <c r="B720" s="5" t="str">
        <f>"223220191130140659218073"</f>
        <v>223220191130140659218073</v>
      </c>
      <c r="C720" s="5" t="s">
        <v>35</v>
      </c>
      <c r="D720" s="5" t="s">
        <v>36</v>
      </c>
      <c r="E720" s="5" t="str">
        <f>"谢小英"</f>
        <v>谢小英</v>
      </c>
      <c r="F720" s="5" t="str">
        <f t="shared" ref="F720:F722" si="204">"女"</f>
        <v>女</v>
      </c>
      <c r="G720" s="5" t="str">
        <f>"1996-06-19"</f>
        <v>1996-06-19</v>
      </c>
      <c r="H720" s="5" t="str">
        <f>"三亚学院"</f>
        <v>三亚学院</v>
      </c>
    </row>
    <row r="721" s="2" customFormat="1" ht="20" customHeight="1" spans="1:8">
      <c r="A721" s="5">
        <v>719</v>
      </c>
      <c r="B721" s="5" t="str">
        <f>"223220191130145512218102"</f>
        <v>223220191130145512218102</v>
      </c>
      <c r="C721" s="5" t="s">
        <v>35</v>
      </c>
      <c r="D721" s="5" t="s">
        <v>36</v>
      </c>
      <c r="E721" s="5" t="str">
        <f>"曾婕"</f>
        <v>曾婕</v>
      </c>
      <c r="F721" s="5" t="str">
        <f t="shared" si="204"/>
        <v>女</v>
      </c>
      <c r="G721" s="5" t="str">
        <f>"1997-06-09"</f>
        <v>1997-06-09</v>
      </c>
      <c r="H721" s="5" t="str">
        <f>"平顶山学院"</f>
        <v>平顶山学院</v>
      </c>
    </row>
    <row r="722" s="2" customFormat="1" ht="20" customHeight="1" spans="1:8">
      <c r="A722" s="5">
        <v>720</v>
      </c>
      <c r="B722" s="5" t="str">
        <f>"223220191130153135218131"</f>
        <v>223220191130153135218131</v>
      </c>
      <c r="C722" s="5" t="s">
        <v>35</v>
      </c>
      <c r="D722" s="5" t="s">
        <v>36</v>
      </c>
      <c r="E722" s="5" t="str">
        <f>"林春燕"</f>
        <v>林春燕</v>
      </c>
      <c r="F722" s="5" t="str">
        <f t="shared" si="204"/>
        <v>女</v>
      </c>
      <c r="G722" s="5" t="str">
        <f>"1996-03-15"</f>
        <v>1996-03-15</v>
      </c>
      <c r="H722" s="5" t="str">
        <f>"海南师范大学"</f>
        <v>海南师范大学</v>
      </c>
    </row>
    <row r="723" s="2" customFormat="1" ht="20" customHeight="1" spans="1:8">
      <c r="A723" s="5">
        <v>721</v>
      </c>
      <c r="B723" s="5" t="str">
        <f>"223220191130161946218155"</f>
        <v>223220191130161946218155</v>
      </c>
      <c r="C723" s="5" t="s">
        <v>35</v>
      </c>
      <c r="D723" s="5" t="s">
        <v>36</v>
      </c>
      <c r="E723" s="5" t="str">
        <f>"郑海伯"</f>
        <v>郑海伯</v>
      </c>
      <c r="F723" s="5" t="str">
        <f t="shared" ref="F723:F727" si="205">"男"</f>
        <v>男</v>
      </c>
      <c r="G723" s="5" t="str">
        <f>"1991-05-08"</f>
        <v>1991-05-08</v>
      </c>
      <c r="H723" s="5" t="str">
        <f>"江西农业大学南昌商学院"</f>
        <v>江西农业大学南昌商学院</v>
      </c>
    </row>
    <row r="724" s="2" customFormat="1" ht="20" customHeight="1" spans="1:8">
      <c r="A724" s="5">
        <v>722</v>
      </c>
      <c r="B724" s="5" t="str">
        <f>"223220191123093402210021"</f>
        <v>223220191123093402210021</v>
      </c>
      <c r="C724" s="5" t="s">
        <v>37</v>
      </c>
      <c r="D724" s="5" t="s">
        <v>38</v>
      </c>
      <c r="E724" s="5" t="str">
        <f>"张世平"</f>
        <v>张世平</v>
      </c>
      <c r="F724" s="5" t="str">
        <f t="shared" si="205"/>
        <v>男</v>
      </c>
      <c r="G724" s="5" t="str">
        <f>"1995-11-12"</f>
        <v>1995-11-12</v>
      </c>
      <c r="H724" s="5" t="str">
        <f>"荆楚理工学院"</f>
        <v>荆楚理工学院</v>
      </c>
    </row>
    <row r="725" s="2" customFormat="1" ht="20" customHeight="1" spans="1:8">
      <c r="A725" s="5">
        <v>723</v>
      </c>
      <c r="B725" s="5" t="str">
        <f>"223220191123093623210025"</f>
        <v>223220191123093623210025</v>
      </c>
      <c r="C725" s="5" t="s">
        <v>37</v>
      </c>
      <c r="D725" s="5" t="s">
        <v>38</v>
      </c>
      <c r="E725" s="5" t="str">
        <f>"李涛"</f>
        <v>李涛</v>
      </c>
      <c r="F725" s="5" t="str">
        <f t="shared" si="205"/>
        <v>男</v>
      </c>
      <c r="G725" s="5" t="str">
        <f>"1995-05-31"</f>
        <v>1995-05-31</v>
      </c>
      <c r="H725" s="5" t="str">
        <f>"武汉生物工程学院"</f>
        <v>武汉生物工程学院</v>
      </c>
    </row>
    <row r="726" s="2" customFormat="1" ht="20" customHeight="1" spans="1:8">
      <c r="A726" s="5">
        <v>724</v>
      </c>
      <c r="B726" s="5" t="str">
        <f>"223220191123095550210052"</f>
        <v>223220191123095550210052</v>
      </c>
      <c r="C726" s="5" t="s">
        <v>37</v>
      </c>
      <c r="D726" s="5" t="s">
        <v>38</v>
      </c>
      <c r="E726" s="5" t="str">
        <f>"吴金龙"</f>
        <v>吴金龙</v>
      </c>
      <c r="F726" s="5" t="str">
        <f t="shared" si="205"/>
        <v>男</v>
      </c>
      <c r="G726" s="5" t="str">
        <f>"1988-03-21"</f>
        <v>1988-03-21</v>
      </c>
      <c r="H726" s="5" t="str">
        <f>"海口工商学院"</f>
        <v>海口工商学院</v>
      </c>
    </row>
    <row r="727" s="2" customFormat="1" ht="20" customHeight="1" spans="1:8">
      <c r="A727" s="5">
        <v>725</v>
      </c>
      <c r="B727" s="5" t="str">
        <f>"223220191123095641210054"</f>
        <v>223220191123095641210054</v>
      </c>
      <c r="C727" s="5" t="s">
        <v>37</v>
      </c>
      <c r="D727" s="5" t="s">
        <v>38</v>
      </c>
      <c r="E727" s="5" t="str">
        <f>"符必熙"</f>
        <v>符必熙</v>
      </c>
      <c r="F727" s="5" t="str">
        <f t="shared" si="205"/>
        <v>男</v>
      </c>
      <c r="G727" s="5" t="str">
        <f>"1988-10-16"</f>
        <v>1988-10-16</v>
      </c>
      <c r="H727" s="5" t="str">
        <f>"琼台师范高等专科学校"</f>
        <v>琼台师范高等专科学校</v>
      </c>
    </row>
    <row r="728" s="2" customFormat="1" ht="20" customHeight="1" spans="1:8">
      <c r="A728" s="5">
        <v>726</v>
      </c>
      <c r="B728" s="5" t="str">
        <f>"223220191123100717210070"</f>
        <v>223220191123100717210070</v>
      </c>
      <c r="C728" s="5" t="s">
        <v>37</v>
      </c>
      <c r="D728" s="5" t="s">
        <v>38</v>
      </c>
      <c r="E728" s="5" t="str">
        <f>"王秋妹"</f>
        <v>王秋妹</v>
      </c>
      <c r="F728" s="5" t="str">
        <f>"女"</f>
        <v>女</v>
      </c>
      <c r="G728" s="5" t="str">
        <f>"1990-11-10"</f>
        <v>1990-11-10</v>
      </c>
      <c r="H728" s="5" t="str">
        <f>"江西科技学院"</f>
        <v>江西科技学院</v>
      </c>
    </row>
    <row r="729" s="2" customFormat="1" ht="20" customHeight="1" spans="1:8">
      <c r="A729" s="5">
        <v>727</v>
      </c>
      <c r="B729" s="5" t="str">
        <f>"223220191123102140210098"</f>
        <v>223220191123102140210098</v>
      </c>
      <c r="C729" s="5" t="s">
        <v>37</v>
      </c>
      <c r="D729" s="5" t="s">
        <v>38</v>
      </c>
      <c r="E729" s="5" t="str">
        <f>"许必康"</f>
        <v>许必康</v>
      </c>
      <c r="F729" s="5" t="str">
        <f t="shared" ref="F729:F734" si="206">"男"</f>
        <v>男</v>
      </c>
      <c r="G729" s="5" t="str">
        <f>"1987-02-16"</f>
        <v>1987-02-16</v>
      </c>
      <c r="H729" s="5" t="str">
        <f>"琼州学院"</f>
        <v>琼州学院</v>
      </c>
    </row>
    <row r="730" s="2" customFormat="1" ht="20" customHeight="1" spans="1:8">
      <c r="A730" s="5">
        <v>728</v>
      </c>
      <c r="B730" s="5" t="str">
        <f>"223220191123115052210215"</f>
        <v>223220191123115052210215</v>
      </c>
      <c r="C730" s="5" t="s">
        <v>37</v>
      </c>
      <c r="D730" s="5" t="s">
        <v>38</v>
      </c>
      <c r="E730" s="5" t="str">
        <f>"李友爱"</f>
        <v>李友爱</v>
      </c>
      <c r="F730" s="5" t="str">
        <f>"女"</f>
        <v>女</v>
      </c>
      <c r="G730" s="5" t="str">
        <f>"1990-02-04"</f>
        <v>1990-02-04</v>
      </c>
      <c r="H730" s="5" t="str">
        <f>"琼台师范高等专科学校"</f>
        <v>琼台师范高等专科学校</v>
      </c>
    </row>
    <row r="731" s="2" customFormat="1" ht="20" customHeight="1" spans="1:8">
      <c r="A731" s="5">
        <v>729</v>
      </c>
      <c r="B731" s="5" t="str">
        <f>"223220191123115656210223"</f>
        <v>223220191123115656210223</v>
      </c>
      <c r="C731" s="5" t="s">
        <v>37</v>
      </c>
      <c r="D731" s="5" t="s">
        <v>38</v>
      </c>
      <c r="E731" s="5" t="str">
        <f>"黄长海"</f>
        <v>黄长海</v>
      </c>
      <c r="F731" s="5" t="str">
        <f t="shared" ref="F731:F734" si="207">"男"</f>
        <v>男</v>
      </c>
      <c r="G731" s="5" t="str">
        <f>"1992-02-18"</f>
        <v>1992-02-18</v>
      </c>
      <c r="H731" s="5" t="str">
        <f>"海南热带海洋学院"</f>
        <v>海南热带海洋学院</v>
      </c>
    </row>
    <row r="732" s="2" customFormat="1" ht="20" customHeight="1" spans="1:8">
      <c r="A732" s="5">
        <v>730</v>
      </c>
      <c r="B732" s="5" t="str">
        <f>"223220191123120025210229"</f>
        <v>223220191123120025210229</v>
      </c>
      <c r="C732" s="5" t="s">
        <v>37</v>
      </c>
      <c r="D732" s="5" t="s">
        <v>38</v>
      </c>
      <c r="E732" s="5" t="str">
        <f>"罗崇武"</f>
        <v>罗崇武</v>
      </c>
      <c r="F732" s="5" t="str">
        <f t="shared" si="207"/>
        <v>男</v>
      </c>
      <c r="G732" s="5" t="str">
        <f>"1996-06-20"</f>
        <v>1996-06-20</v>
      </c>
      <c r="H732" s="5" t="str">
        <f>"海南软件职业技术学院"</f>
        <v>海南软件职业技术学院</v>
      </c>
    </row>
    <row r="733" s="2" customFormat="1" ht="20" customHeight="1" spans="1:8">
      <c r="A733" s="5">
        <v>731</v>
      </c>
      <c r="B733" s="5" t="str">
        <f>"223220191123120824210236"</f>
        <v>223220191123120824210236</v>
      </c>
      <c r="C733" s="5" t="s">
        <v>37</v>
      </c>
      <c r="D733" s="5" t="s">
        <v>38</v>
      </c>
      <c r="E733" s="5" t="str">
        <f>"吴永波"</f>
        <v>吴永波</v>
      </c>
      <c r="F733" s="5" t="str">
        <f t="shared" si="207"/>
        <v>男</v>
      </c>
      <c r="G733" s="5" t="str">
        <f>"1996-12-03"</f>
        <v>1996-12-03</v>
      </c>
      <c r="H733" s="5" t="str">
        <f>"黄淮学院"</f>
        <v>黄淮学院</v>
      </c>
    </row>
    <row r="734" s="2" customFormat="1" ht="20" customHeight="1" spans="1:8">
      <c r="A734" s="5">
        <v>732</v>
      </c>
      <c r="B734" s="5" t="str">
        <f>"223220191123124116210268"</f>
        <v>223220191123124116210268</v>
      </c>
      <c r="C734" s="5" t="s">
        <v>37</v>
      </c>
      <c r="D734" s="5" t="s">
        <v>38</v>
      </c>
      <c r="E734" s="5" t="str">
        <f>"羊春松"</f>
        <v>羊春松</v>
      </c>
      <c r="F734" s="5" t="str">
        <f t="shared" si="207"/>
        <v>男</v>
      </c>
      <c r="G734" s="5" t="str">
        <f>"1991-07-29"</f>
        <v>1991-07-29</v>
      </c>
      <c r="H734" s="5" t="str">
        <f>"广东海洋大学"</f>
        <v>广东海洋大学</v>
      </c>
    </row>
    <row r="735" s="2" customFormat="1" ht="20" customHeight="1" spans="1:8">
      <c r="A735" s="5">
        <v>733</v>
      </c>
      <c r="B735" s="5" t="str">
        <f>"223220191123152932210400"</f>
        <v>223220191123152932210400</v>
      </c>
      <c r="C735" s="5" t="s">
        <v>37</v>
      </c>
      <c r="D735" s="5" t="s">
        <v>38</v>
      </c>
      <c r="E735" s="5" t="str">
        <f>"麦坚慧"</f>
        <v>麦坚慧</v>
      </c>
      <c r="F735" s="5" t="str">
        <f t="shared" ref="F735:F740" si="208">"女"</f>
        <v>女</v>
      </c>
      <c r="G735" s="5" t="str">
        <f>"1997-02-20"</f>
        <v>1997-02-20</v>
      </c>
      <c r="H735" s="5" t="str">
        <f>"海南热带海洋学院"</f>
        <v>海南热带海洋学院</v>
      </c>
    </row>
    <row r="736" s="2" customFormat="1" ht="20" customHeight="1" spans="1:8">
      <c r="A736" s="5">
        <v>734</v>
      </c>
      <c r="B736" s="5" t="str">
        <f>"223220191123165958210460"</f>
        <v>223220191123165958210460</v>
      </c>
      <c r="C736" s="5" t="s">
        <v>37</v>
      </c>
      <c r="D736" s="5" t="s">
        <v>38</v>
      </c>
      <c r="E736" s="5" t="str">
        <f>"李妹"</f>
        <v>李妹</v>
      </c>
      <c r="F736" s="5" t="str">
        <f t="shared" si="208"/>
        <v>女</v>
      </c>
      <c r="G736" s="5" t="str">
        <f>"1997-05-02"</f>
        <v>1997-05-02</v>
      </c>
      <c r="H736" s="5" t="str">
        <f>"安阳工学院"</f>
        <v>安阳工学院</v>
      </c>
    </row>
    <row r="737" s="2" customFormat="1" ht="20" customHeight="1" spans="1:8">
      <c r="A737" s="5">
        <v>735</v>
      </c>
      <c r="B737" s="5" t="str">
        <f>"223220191123175852210509"</f>
        <v>223220191123175852210509</v>
      </c>
      <c r="C737" s="5" t="s">
        <v>37</v>
      </c>
      <c r="D737" s="5" t="s">
        <v>38</v>
      </c>
      <c r="E737" s="5" t="str">
        <f>"唐造家"</f>
        <v>唐造家</v>
      </c>
      <c r="F737" s="5" t="str">
        <f t="shared" ref="F737:F741" si="209">"男"</f>
        <v>男</v>
      </c>
      <c r="G737" s="5" t="str">
        <f>"1991-08-18"</f>
        <v>1991-08-18</v>
      </c>
      <c r="H737" s="5" t="str">
        <f>"陕西警官职业学院"</f>
        <v>陕西警官职业学院</v>
      </c>
    </row>
    <row r="738" s="2" customFormat="1" ht="20" customHeight="1" spans="1:8">
      <c r="A738" s="5">
        <v>736</v>
      </c>
      <c r="B738" s="5" t="str">
        <f>"223220191123201227210614"</f>
        <v>223220191123201227210614</v>
      </c>
      <c r="C738" s="5" t="s">
        <v>37</v>
      </c>
      <c r="D738" s="5" t="s">
        <v>38</v>
      </c>
      <c r="E738" s="5" t="str">
        <f>"张燕津"</f>
        <v>张燕津</v>
      </c>
      <c r="F738" s="5" t="str">
        <f t="shared" si="209"/>
        <v>男</v>
      </c>
      <c r="G738" s="5" t="str">
        <f>"1997-08-30"</f>
        <v>1997-08-30</v>
      </c>
      <c r="H738" s="5" t="str">
        <f>"海南科技职业大学"</f>
        <v>海南科技职业大学</v>
      </c>
    </row>
    <row r="739" s="2" customFormat="1" ht="20" customHeight="1" spans="1:8">
      <c r="A739" s="5">
        <v>737</v>
      </c>
      <c r="B739" s="5" t="str">
        <f>"223220191123205413210650"</f>
        <v>223220191123205413210650</v>
      </c>
      <c r="C739" s="5" t="s">
        <v>37</v>
      </c>
      <c r="D739" s="5" t="s">
        <v>38</v>
      </c>
      <c r="E739" s="5" t="str">
        <f>"黎柳花"</f>
        <v>黎柳花</v>
      </c>
      <c r="F739" s="5" t="str">
        <f>"女"</f>
        <v>女</v>
      </c>
      <c r="G739" s="5" t="str">
        <f>"1986-08-11"</f>
        <v>1986-08-11</v>
      </c>
      <c r="H739" s="5" t="str">
        <f>"琼州学院"</f>
        <v>琼州学院</v>
      </c>
    </row>
    <row r="740" s="2" customFormat="1" ht="20" customHeight="1" spans="1:8">
      <c r="A740" s="5">
        <v>738</v>
      </c>
      <c r="B740" s="5" t="str">
        <f>"223220191124091102210787"</f>
        <v>223220191124091102210787</v>
      </c>
      <c r="C740" s="5" t="s">
        <v>37</v>
      </c>
      <c r="D740" s="5" t="s">
        <v>38</v>
      </c>
      <c r="E740" s="5" t="str">
        <f>"唐土爱"</f>
        <v>唐土爱</v>
      </c>
      <c r="F740" s="5" t="str">
        <f>"女"</f>
        <v>女</v>
      </c>
      <c r="G740" s="5" t="str">
        <f>"1996-03-21"</f>
        <v>1996-03-21</v>
      </c>
      <c r="H740" s="5" t="str">
        <f>"辽宁财贸学院"</f>
        <v>辽宁财贸学院</v>
      </c>
    </row>
    <row r="741" s="2" customFormat="1" ht="20" customHeight="1" spans="1:8">
      <c r="A741" s="5">
        <v>739</v>
      </c>
      <c r="B741" s="5" t="str">
        <f>"223220191124101243210822"</f>
        <v>223220191124101243210822</v>
      </c>
      <c r="C741" s="5" t="s">
        <v>37</v>
      </c>
      <c r="D741" s="5" t="s">
        <v>38</v>
      </c>
      <c r="E741" s="5" t="str">
        <f>"李肇荣"</f>
        <v>李肇荣</v>
      </c>
      <c r="F741" s="5" t="str">
        <f>"男"</f>
        <v>男</v>
      </c>
      <c r="G741" s="5" t="str">
        <f>"1990-05-01"</f>
        <v>1990-05-01</v>
      </c>
      <c r="H741" s="5" t="str">
        <f>"海南政法职业学院"</f>
        <v>海南政法职业学院</v>
      </c>
    </row>
    <row r="742" s="2" customFormat="1" ht="20" customHeight="1" spans="1:8">
      <c r="A742" s="5">
        <v>740</v>
      </c>
      <c r="B742" s="5" t="str">
        <f>"223220191124103157210835"</f>
        <v>223220191124103157210835</v>
      </c>
      <c r="C742" s="5" t="s">
        <v>37</v>
      </c>
      <c r="D742" s="5" t="s">
        <v>38</v>
      </c>
      <c r="E742" s="5" t="str">
        <f>"李艾秋"</f>
        <v>李艾秋</v>
      </c>
      <c r="F742" s="5" t="str">
        <f t="shared" ref="F742:F747" si="210">"女"</f>
        <v>女</v>
      </c>
      <c r="G742" s="5" t="str">
        <f>"1995-07-20"</f>
        <v>1995-07-20</v>
      </c>
      <c r="H742" s="5" t="str">
        <f>"上海建桥学院"</f>
        <v>上海建桥学院</v>
      </c>
    </row>
    <row r="743" s="2" customFormat="1" ht="20" customHeight="1" spans="1:8">
      <c r="A743" s="5">
        <v>741</v>
      </c>
      <c r="B743" s="5" t="str">
        <f>"223220191124105523210865"</f>
        <v>223220191124105523210865</v>
      </c>
      <c r="C743" s="5" t="s">
        <v>37</v>
      </c>
      <c r="D743" s="5" t="s">
        <v>38</v>
      </c>
      <c r="E743" s="5" t="str">
        <f>"吴志乾"</f>
        <v>吴志乾</v>
      </c>
      <c r="F743" s="5" t="str">
        <f t="shared" si="210"/>
        <v>女</v>
      </c>
      <c r="G743" s="5" t="str">
        <f>"1995-09-07"</f>
        <v>1995-09-07</v>
      </c>
      <c r="H743" s="5" t="str">
        <f>"井冈山大学"</f>
        <v>井冈山大学</v>
      </c>
    </row>
    <row r="744" s="2" customFormat="1" ht="20" customHeight="1" spans="1:8">
      <c r="A744" s="5">
        <v>742</v>
      </c>
      <c r="B744" s="5" t="str">
        <f>"223220191124110036210871"</f>
        <v>223220191124110036210871</v>
      </c>
      <c r="C744" s="5" t="s">
        <v>37</v>
      </c>
      <c r="D744" s="5" t="s">
        <v>38</v>
      </c>
      <c r="E744" s="5" t="str">
        <f>"符春逢"</f>
        <v>符春逢</v>
      </c>
      <c r="F744" s="5" t="str">
        <f t="shared" si="210"/>
        <v>女</v>
      </c>
      <c r="G744" s="5" t="str">
        <f>"1985-06-14"</f>
        <v>1985-06-14</v>
      </c>
      <c r="H744" s="5" t="str">
        <f>"天津中德职业技术学院"</f>
        <v>天津中德职业技术学院</v>
      </c>
    </row>
    <row r="745" s="2" customFormat="1" ht="20" customHeight="1" spans="1:8">
      <c r="A745" s="5">
        <v>743</v>
      </c>
      <c r="B745" s="5" t="str">
        <f>"223220191124131238211011"</f>
        <v>223220191124131238211011</v>
      </c>
      <c r="C745" s="5" t="s">
        <v>37</v>
      </c>
      <c r="D745" s="5" t="s">
        <v>38</v>
      </c>
      <c r="E745" s="5" t="str">
        <f>"吴小通"</f>
        <v>吴小通</v>
      </c>
      <c r="F745" s="5" t="str">
        <f t="shared" si="210"/>
        <v>女</v>
      </c>
      <c r="G745" s="5" t="str">
        <f>"1993-07-04"</f>
        <v>1993-07-04</v>
      </c>
      <c r="H745" s="5" t="str">
        <f>"鲁东大学马克思主义学院"</f>
        <v>鲁东大学马克思主义学院</v>
      </c>
    </row>
    <row r="746" s="2" customFormat="1" ht="20" customHeight="1" spans="1:8">
      <c r="A746" s="5">
        <v>744</v>
      </c>
      <c r="B746" s="5" t="str">
        <f>"223220191124192740211273"</f>
        <v>223220191124192740211273</v>
      </c>
      <c r="C746" s="5" t="s">
        <v>37</v>
      </c>
      <c r="D746" s="5" t="s">
        <v>38</v>
      </c>
      <c r="E746" s="5" t="str">
        <f>"符小苗"</f>
        <v>符小苗</v>
      </c>
      <c r="F746" s="5" t="str">
        <f t="shared" si="210"/>
        <v>女</v>
      </c>
      <c r="G746" s="5" t="str">
        <f>"1991-08-09"</f>
        <v>1991-08-09</v>
      </c>
      <c r="H746" s="5" t="str">
        <f>"琼台师范学院"</f>
        <v>琼台师范学院</v>
      </c>
    </row>
    <row r="747" s="2" customFormat="1" ht="20" customHeight="1" spans="1:8">
      <c r="A747" s="5">
        <v>745</v>
      </c>
      <c r="B747" s="5" t="str">
        <f>"223220191124193903211283"</f>
        <v>223220191124193903211283</v>
      </c>
      <c r="C747" s="5" t="s">
        <v>37</v>
      </c>
      <c r="D747" s="5" t="s">
        <v>38</v>
      </c>
      <c r="E747" s="5" t="str">
        <f>"杨永芳"</f>
        <v>杨永芳</v>
      </c>
      <c r="F747" s="5" t="str">
        <f t="shared" si="210"/>
        <v>女</v>
      </c>
      <c r="G747" s="5" t="str">
        <f>"1992-12-25"</f>
        <v>1992-12-25</v>
      </c>
      <c r="H747" s="5" t="str">
        <f>"海南软件职业技术学院"</f>
        <v>海南软件职业技术学院</v>
      </c>
    </row>
    <row r="748" s="2" customFormat="1" ht="20" customHeight="1" spans="1:8">
      <c r="A748" s="5">
        <v>746</v>
      </c>
      <c r="B748" s="5" t="str">
        <f>"223220191124204949211351"</f>
        <v>223220191124204949211351</v>
      </c>
      <c r="C748" s="5" t="s">
        <v>37</v>
      </c>
      <c r="D748" s="5" t="s">
        <v>38</v>
      </c>
      <c r="E748" s="5" t="str">
        <f>"林楠"</f>
        <v>林楠</v>
      </c>
      <c r="F748" s="5" t="str">
        <f>"男"</f>
        <v>男</v>
      </c>
      <c r="G748" s="5" t="str">
        <f>"1995-10-08"</f>
        <v>1995-10-08</v>
      </c>
      <c r="H748" s="5" t="str">
        <f>"广东科技学院"</f>
        <v>广东科技学院</v>
      </c>
    </row>
    <row r="749" s="2" customFormat="1" ht="20" customHeight="1" spans="1:8">
      <c r="A749" s="5">
        <v>747</v>
      </c>
      <c r="B749" s="5" t="str">
        <f>"223220191125000350211483"</f>
        <v>223220191125000350211483</v>
      </c>
      <c r="C749" s="5" t="s">
        <v>37</v>
      </c>
      <c r="D749" s="5" t="s">
        <v>38</v>
      </c>
      <c r="E749" s="5" t="str">
        <f>"符金琳"</f>
        <v>符金琳</v>
      </c>
      <c r="F749" s="5" t="str">
        <f t="shared" ref="F749:F751" si="211">"女"</f>
        <v>女</v>
      </c>
      <c r="G749" s="5" t="str">
        <f>"1993-10-28"</f>
        <v>1993-10-28</v>
      </c>
      <c r="H749" s="5" t="str">
        <f>"海南政法职业学院"</f>
        <v>海南政法职业学院</v>
      </c>
    </row>
    <row r="750" s="2" customFormat="1" ht="20" customHeight="1" spans="1:8">
      <c r="A750" s="5">
        <v>748</v>
      </c>
      <c r="B750" s="5" t="str">
        <f>"223220191125084728211556"</f>
        <v>223220191125084728211556</v>
      </c>
      <c r="C750" s="5" t="s">
        <v>37</v>
      </c>
      <c r="D750" s="5" t="s">
        <v>38</v>
      </c>
      <c r="E750" s="5" t="str">
        <f>"刘理红"</f>
        <v>刘理红</v>
      </c>
      <c r="F750" s="5" t="str">
        <f t="shared" si="211"/>
        <v>女</v>
      </c>
      <c r="G750" s="5" t="str">
        <f>"1990-08-23"</f>
        <v>1990-08-23</v>
      </c>
      <c r="H750" s="5" t="str">
        <f t="shared" ref="H750:H754" si="212">"海口经济学院"</f>
        <v>海口经济学院</v>
      </c>
    </row>
    <row r="751" s="2" customFormat="1" ht="20" customHeight="1" spans="1:8">
      <c r="A751" s="5">
        <v>749</v>
      </c>
      <c r="B751" s="5" t="str">
        <f>"223220191125085345211568"</f>
        <v>223220191125085345211568</v>
      </c>
      <c r="C751" s="5" t="s">
        <v>37</v>
      </c>
      <c r="D751" s="5" t="s">
        <v>38</v>
      </c>
      <c r="E751" s="5" t="str">
        <f>"刘琴"</f>
        <v>刘琴</v>
      </c>
      <c r="F751" s="5" t="str">
        <f t="shared" si="211"/>
        <v>女</v>
      </c>
      <c r="G751" s="5" t="str">
        <f>"1993-06-11"</f>
        <v>1993-06-11</v>
      </c>
      <c r="H751" s="5" t="str">
        <f>"烟台大学"</f>
        <v>烟台大学</v>
      </c>
    </row>
    <row r="752" s="2" customFormat="1" ht="20" customHeight="1" spans="1:8">
      <c r="A752" s="5">
        <v>750</v>
      </c>
      <c r="B752" s="5" t="str">
        <f>"223220191125091041211610"</f>
        <v>223220191125091041211610</v>
      </c>
      <c r="C752" s="5" t="s">
        <v>37</v>
      </c>
      <c r="D752" s="5" t="s">
        <v>38</v>
      </c>
      <c r="E752" s="5" t="str">
        <f>"许保光"</f>
        <v>许保光</v>
      </c>
      <c r="F752" s="5" t="str">
        <f>"男"</f>
        <v>男</v>
      </c>
      <c r="G752" s="5" t="str">
        <f>"1985-08-15"</f>
        <v>1985-08-15</v>
      </c>
      <c r="H752" s="5" t="str">
        <f>"海南省琼州学院"</f>
        <v>海南省琼州学院</v>
      </c>
    </row>
    <row r="753" s="2" customFormat="1" ht="20" customHeight="1" spans="1:8">
      <c r="A753" s="5">
        <v>751</v>
      </c>
      <c r="B753" s="5" t="str">
        <f>"223220191125091914211629"</f>
        <v>223220191125091914211629</v>
      </c>
      <c r="C753" s="5" t="s">
        <v>37</v>
      </c>
      <c r="D753" s="5" t="s">
        <v>38</v>
      </c>
      <c r="E753" s="5" t="str">
        <f>"何婆姑"</f>
        <v>何婆姑</v>
      </c>
      <c r="F753" s="5" t="str">
        <f t="shared" ref="F753:F755" si="213">"女"</f>
        <v>女</v>
      </c>
      <c r="G753" s="5" t="str">
        <f>"1993-07-10"</f>
        <v>1993-07-10</v>
      </c>
      <c r="H753" s="5" t="str">
        <f>"海口经济学院"</f>
        <v>海口经济学院</v>
      </c>
    </row>
    <row r="754" s="2" customFormat="1" ht="20" customHeight="1" spans="1:8">
      <c r="A754" s="5">
        <v>752</v>
      </c>
      <c r="B754" s="5" t="str">
        <f>"223220191125094707211687"</f>
        <v>223220191125094707211687</v>
      </c>
      <c r="C754" s="5" t="s">
        <v>37</v>
      </c>
      <c r="D754" s="5" t="s">
        <v>38</v>
      </c>
      <c r="E754" s="5" t="str">
        <f>"李双吉"</f>
        <v>李双吉</v>
      </c>
      <c r="F754" s="5" t="str">
        <f t="shared" si="213"/>
        <v>女</v>
      </c>
      <c r="G754" s="5" t="str">
        <f>"1990-06-30"</f>
        <v>1990-06-30</v>
      </c>
      <c r="H754" s="5" t="str">
        <f>"海口经济学院"</f>
        <v>海口经济学院</v>
      </c>
    </row>
    <row r="755" s="2" customFormat="1" ht="20" customHeight="1" spans="1:8">
      <c r="A755" s="5">
        <v>753</v>
      </c>
      <c r="B755" s="5" t="str">
        <f>"223220191125095001211691"</f>
        <v>223220191125095001211691</v>
      </c>
      <c r="C755" s="5" t="s">
        <v>37</v>
      </c>
      <c r="D755" s="5" t="s">
        <v>38</v>
      </c>
      <c r="E755" s="5" t="str">
        <f>"李石乾"</f>
        <v>李石乾</v>
      </c>
      <c r="F755" s="5" t="str">
        <f t="shared" si="213"/>
        <v>女</v>
      </c>
      <c r="G755" s="5" t="str">
        <f>"1993-09-06"</f>
        <v>1993-09-06</v>
      </c>
      <c r="H755" s="5" t="str">
        <f>"辽宁财贸学院"</f>
        <v>辽宁财贸学院</v>
      </c>
    </row>
    <row r="756" s="2" customFormat="1" ht="20" customHeight="1" spans="1:8">
      <c r="A756" s="5">
        <v>754</v>
      </c>
      <c r="B756" s="5" t="str">
        <f>"223220191125095019211694"</f>
        <v>223220191125095019211694</v>
      </c>
      <c r="C756" s="5" t="s">
        <v>37</v>
      </c>
      <c r="D756" s="5" t="s">
        <v>38</v>
      </c>
      <c r="E756" s="5" t="str">
        <f>"余业中"</f>
        <v>余业中</v>
      </c>
      <c r="F756" s="5" t="str">
        <f t="shared" ref="F756:F761" si="214">"男"</f>
        <v>男</v>
      </c>
      <c r="G756" s="5" t="str">
        <f>"1993-07-27"</f>
        <v>1993-07-27</v>
      </c>
      <c r="H756" s="5" t="str">
        <f>"贺州学院"</f>
        <v>贺州学院</v>
      </c>
    </row>
    <row r="757" s="2" customFormat="1" ht="20" customHeight="1" spans="1:8">
      <c r="A757" s="5">
        <v>755</v>
      </c>
      <c r="B757" s="5" t="str">
        <f>"223220191125100203211723"</f>
        <v>223220191125100203211723</v>
      </c>
      <c r="C757" s="5" t="s">
        <v>37</v>
      </c>
      <c r="D757" s="5" t="s">
        <v>38</v>
      </c>
      <c r="E757" s="5" t="str">
        <f>"符正男"</f>
        <v>符正男</v>
      </c>
      <c r="F757" s="5" t="str">
        <f>"女"</f>
        <v>女</v>
      </c>
      <c r="G757" s="5" t="str">
        <f>"1994-10-16"</f>
        <v>1994-10-16</v>
      </c>
      <c r="H757" s="5" t="str">
        <f>"扬州大学"</f>
        <v>扬州大学</v>
      </c>
    </row>
    <row r="758" s="2" customFormat="1" ht="20" customHeight="1" spans="1:8">
      <c r="A758" s="5">
        <v>756</v>
      </c>
      <c r="B758" s="5" t="str">
        <f>"223220191125101436211749"</f>
        <v>223220191125101436211749</v>
      </c>
      <c r="C758" s="5" t="s">
        <v>37</v>
      </c>
      <c r="D758" s="5" t="s">
        <v>38</v>
      </c>
      <c r="E758" s="5" t="str">
        <f>"陈垂艺"</f>
        <v>陈垂艺</v>
      </c>
      <c r="F758" s="5" t="str">
        <f t="shared" ref="F758:F761" si="215">"男"</f>
        <v>男</v>
      </c>
      <c r="G758" s="5" t="str">
        <f>"1990-05-21"</f>
        <v>1990-05-21</v>
      </c>
      <c r="H758" s="5" t="str">
        <f>"广西理工职业技术学院"</f>
        <v>广西理工职业技术学院</v>
      </c>
    </row>
    <row r="759" s="2" customFormat="1" ht="20" customHeight="1" spans="1:8">
      <c r="A759" s="5">
        <v>757</v>
      </c>
      <c r="B759" s="5" t="str">
        <f>"223220191125103001211779"</f>
        <v>223220191125103001211779</v>
      </c>
      <c r="C759" s="5" t="s">
        <v>37</v>
      </c>
      <c r="D759" s="5" t="s">
        <v>38</v>
      </c>
      <c r="E759" s="5" t="str">
        <f>"蒲德力"</f>
        <v>蒲德力</v>
      </c>
      <c r="F759" s="5" t="str">
        <f t="shared" si="215"/>
        <v>男</v>
      </c>
      <c r="G759" s="5" t="str">
        <f>"1991-01-19"</f>
        <v>1991-01-19</v>
      </c>
      <c r="H759" s="5" t="str">
        <f>"陕西电子信息职业技术学院"</f>
        <v>陕西电子信息职业技术学院</v>
      </c>
    </row>
    <row r="760" s="2" customFormat="1" ht="20" customHeight="1" spans="1:8">
      <c r="A760" s="5">
        <v>758</v>
      </c>
      <c r="B760" s="5" t="str">
        <f>"223220191125103113211782"</f>
        <v>223220191125103113211782</v>
      </c>
      <c r="C760" s="5" t="s">
        <v>37</v>
      </c>
      <c r="D760" s="5" t="s">
        <v>38</v>
      </c>
      <c r="E760" s="5" t="str">
        <f>"李江海"</f>
        <v>李江海</v>
      </c>
      <c r="F760" s="5" t="str">
        <f t="shared" si="215"/>
        <v>男</v>
      </c>
      <c r="G760" s="5" t="str">
        <f>"1987-07-18"</f>
        <v>1987-07-18</v>
      </c>
      <c r="H760" s="5" t="str">
        <f>"武汉科技学院"</f>
        <v>武汉科技学院</v>
      </c>
    </row>
    <row r="761" s="2" customFormat="1" ht="20" customHeight="1" spans="1:8">
      <c r="A761" s="5">
        <v>759</v>
      </c>
      <c r="B761" s="5" t="str">
        <f>"223220191125110732211852"</f>
        <v>223220191125110732211852</v>
      </c>
      <c r="C761" s="5" t="s">
        <v>37</v>
      </c>
      <c r="D761" s="5" t="s">
        <v>38</v>
      </c>
      <c r="E761" s="5" t="str">
        <f>"魏凯"</f>
        <v>魏凯</v>
      </c>
      <c r="F761" s="5" t="str">
        <f t="shared" si="215"/>
        <v>男</v>
      </c>
      <c r="G761" s="5" t="str">
        <f>"1991-03-26"</f>
        <v>1991-03-26</v>
      </c>
      <c r="H761" s="5" t="str">
        <f>"长江职业学院"</f>
        <v>长江职业学院</v>
      </c>
    </row>
    <row r="762" s="2" customFormat="1" ht="20" customHeight="1" spans="1:8">
      <c r="A762" s="5">
        <v>760</v>
      </c>
      <c r="B762" s="5" t="str">
        <f>"223220191125111352211870"</f>
        <v>223220191125111352211870</v>
      </c>
      <c r="C762" s="5" t="s">
        <v>37</v>
      </c>
      <c r="D762" s="5" t="s">
        <v>38</v>
      </c>
      <c r="E762" s="5" t="str">
        <f>"吴玉燕"</f>
        <v>吴玉燕</v>
      </c>
      <c r="F762" s="5" t="str">
        <f t="shared" ref="F762:F766" si="216">"女"</f>
        <v>女</v>
      </c>
      <c r="G762" s="5" t="str">
        <f>"1995-11-18"</f>
        <v>1995-11-18</v>
      </c>
      <c r="H762" s="5" t="str">
        <f>"海口经济学院"</f>
        <v>海口经济学院</v>
      </c>
    </row>
    <row r="763" s="2" customFormat="1" ht="20" customHeight="1" spans="1:8">
      <c r="A763" s="5">
        <v>761</v>
      </c>
      <c r="B763" s="5" t="str">
        <f>"223220191125112129211882"</f>
        <v>223220191125112129211882</v>
      </c>
      <c r="C763" s="5" t="s">
        <v>37</v>
      </c>
      <c r="D763" s="5" t="s">
        <v>38</v>
      </c>
      <c r="E763" s="5" t="str">
        <f>"高位超"</f>
        <v>高位超</v>
      </c>
      <c r="F763" s="5" t="str">
        <f t="shared" ref="F763:F768" si="217">"男"</f>
        <v>男</v>
      </c>
      <c r="G763" s="5" t="str">
        <f>"1992-06-28"</f>
        <v>1992-06-28</v>
      </c>
      <c r="H763" s="5" t="str">
        <f>"安顺学院"</f>
        <v>安顺学院</v>
      </c>
    </row>
    <row r="764" s="2" customFormat="1" ht="20" customHeight="1" spans="1:8">
      <c r="A764" s="5">
        <v>762</v>
      </c>
      <c r="B764" s="5" t="str">
        <f>"223220191125113454211909"</f>
        <v>223220191125113454211909</v>
      </c>
      <c r="C764" s="5" t="s">
        <v>37</v>
      </c>
      <c r="D764" s="5" t="s">
        <v>38</v>
      </c>
      <c r="E764" s="5" t="str">
        <f>"吴国琦"</f>
        <v>吴国琦</v>
      </c>
      <c r="F764" s="5" t="str">
        <f t="shared" si="217"/>
        <v>男</v>
      </c>
      <c r="G764" s="5" t="str">
        <f>"1996-11-17"</f>
        <v>1996-11-17</v>
      </c>
      <c r="H764" s="5" t="str">
        <f>"海口经济学院"</f>
        <v>海口经济学院</v>
      </c>
    </row>
    <row r="765" s="2" customFormat="1" ht="20" customHeight="1" spans="1:8">
      <c r="A765" s="5">
        <v>763</v>
      </c>
      <c r="B765" s="5" t="str">
        <f>"223220191125113840211915"</f>
        <v>223220191125113840211915</v>
      </c>
      <c r="C765" s="5" t="s">
        <v>37</v>
      </c>
      <c r="D765" s="5" t="s">
        <v>38</v>
      </c>
      <c r="E765" s="5" t="str">
        <f>"李丹花"</f>
        <v>李丹花</v>
      </c>
      <c r="F765" s="5" t="str">
        <f t="shared" ref="F765:F769" si="218">"女"</f>
        <v>女</v>
      </c>
      <c r="G765" s="5" t="str">
        <f>"1995-05-22"</f>
        <v>1995-05-22</v>
      </c>
      <c r="H765" s="5" t="str">
        <f>"天津工业大学"</f>
        <v>天津工业大学</v>
      </c>
    </row>
    <row r="766" s="2" customFormat="1" ht="20" customHeight="1" spans="1:8">
      <c r="A766" s="5">
        <v>764</v>
      </c>
      <c r="B766" s="5" t="str">
        <f>"223220191125115634211960"</f>
        <v>223220191125115634211960</v>
      </c>
      <c r="C766" s="5" t="s">
        <v>37</v>
      </c>
      <c r="D766" s="5" t="s">
        <v>38</v>
      </c>
      <c r="E766" s="5" t="str">
        <f>"吴海秀"</f>
        <v>吴海秀</v>
      </c>
      <c r="F766" s="5" t="str">
        <f t="shared" si="218"/>
        <v>女</v>
      </c>
      <c r="G766" s="5" t="str">
        <f>"1996-04-27"</f>
        <v>1996-04-27</v>
      </c>
      <c r="H766" s="5" t="str">
        <f>"河南农业大学"</f>
        <v>河南农业大学</v>
      </c>
    </row>
    <row r="767" s="2" customFormat="1" ht="20" customHeight="1" spans="1:8">
      <c r="A767" s="5">
        <v>765</v>
      </c>
      <c r="B767" s="5" t="str">
        <f>"223220191125123152211994"</f>
        <v>223220191125123152211994</v>
      </c>
      <c r="C767" s="5" t="s">
        <v>37</v>
      </c>
      <c r="D767" s="5" t="s">
        <v>38</v>
      </c>
      <c r="E767" s="5" t="str">
        <f>"李冠敏"</f>
        <v>李冠敏</v>
      </c>
      <c r="F767" s="5" t="str">
        <f>"男"</f>
        <v>男</v>
      </c>
      <c r="G767" s="5" t="str">
        <f>"1996-07-28"</f>
        <v>1996-07-28</v>
      </c>
      <c r="H767" s="5" t="str">
        <f>"海南工商职业学院"</f>
        <v>海南工商职业学院</v>
      </c>
    </row>
    <row r="768" s="2" customFormat="1" ht="20" customHeight="1" spans="1:8">
      <c r="A768" s="5">
        <v>766</v>
      </c>
      <c r="B768" s="5" t="str">
        <f>"223220191125124805212008"</f>
        <v>223220191125124805212008</v>
      </c>
      <c r="C768" s="5" t="s">
        <v>37</v>
      </c>
      <c r="D768" s="5" t="s">
        <v>38</v>
      </c>
      <c r="E768" s="5" t="str">
        <f>"李运鸿"</f>
        <v>李运鸿</v>
      </c>
      <c r="F768" s="5" t="str">
        <f>"男"</f>
        <v>男</v>
      </c>
      <c r="G768" s="5" t="str">
        <f>"1990-08-16"</f>
        <v>1990-08-16</v>
      </c>
      <c r="H768" s="5" t="str">
        <f>"海南政法职业学院"</f>
        <v>海南政法职业学院</v>
      </c>
    </row>
    <row r="769" s="2" customFormat="1" ht="20" customHeight="1" spans="1:8">
      <c r="A769" s="5">
        <v>767</v>
      </c>
      <c r="B769" s="5" t="str">
        <f>"223220191125132135212042"</f>
        <v>223220191125132135212042</v>
      </c>
      <c r="C769" s="5" t="s">
        <v>37</v>
      </c>
      <c r="D769" s="5" t="s">
        <v>38</v>
      </c>
      <c r="E769" s="5" t="str">
        <f>"羊廷慧"</f>
        <v>羊廷慧</v>
      </c>
      <c r="F769" s="5" t="str">
        <f>"女"</f>
        <v>女</v>
      </c>
      <c r="G769" s="5" t="str">
        <f>"1994-07-28"</f>
        <v>1994-07-28</v>
      </c>
      <c r="H769" s="5" t="str">
        <f>"四川警察学院"</f>
        <v>四川警察学院</v>
      </c>
    </row>
    <row r="770" s="2" customFormat="1" ht="20" customHeight="1" spans="1:8">
      <c r="A770" s="5">
        <v>768</v>
      </c>
      <c r="B770" s="5" t="str">
        <f>"223220191125151258212178"</f>
        <v>223220191125151258212178</v>
      </c>
      <c r="C770" s="5" t="s">
        <v>37</v>
      </c>
      <c r="D770" s="5" t="s">
        <v>38</v>
      </c>
      <c r="E770" s="5" t="str">
        <f>"陈超"</f>
        <v>陈超</v>
      </c>
      <c r="F770" s="5" t="str">
        <f t="shared" ref="F770:F772" si="219">"男"</f>
        <v>男</v>
      </c>
      <c r="G770" s="5" t="str">
        <f>"1989-05-18"</f>
        <v>1989-05-18</v>
      </c>
      <c r="H770" s="5" t="str">
        <f>"海南大学"</f>
        <v>海南大学</v>
      </c>
    </row>
    <row r="771" s="2" customFormat="1" ht="20" customHeight="1" spans="1:8">
      <c r="A771" s="5">
        <v>769</v>
      </c>
      <c r="B771" s="5" t="str">
        <f>"223220191125152239212202"</f>
        <v>223220191125152239212202</v>
      </c>
      <c r="C771" s="5" t="s">
        <v>37</v>
      </c>
      <c r="D771" s="5" t="s">
        <v>38</v>
      </c>
      <c r="E771" s="5" t="str">
        <f>"赵运阳"</f>
        <v>赵运阳</v>
      </c>
      <c r="F771" s="5" t="str">
        <f t="shared" si="219"/>
        <v>男</v>
      </c>
      <c r="G771" s="5" t="str">
        <f>"1995-07-19"</f>
        <v>1995-07-19</v>
      </c>
      <c r="H771" s="5" t="str">
        <f>"重庆交通职业学院"</f>
        <v>重庆交通职业学院</v>
      </c>
    </row>
    <row r="772" s="2" customFormat="1" ht="20" customHeight="1" spans="1:8">
      <c r="A772" s="5">
        <v>770</v>
      </c>
      <c r="B772" s="5" t="str">
        <f>"223220191125154408212249"</f>
        <v>223220191125154408212249</v>
      </c>
      <c r="C772" s="5" t="s">
        <v>37</v>
      </c>
      <c r="D772" s="5" t="s">
        <v>38</v>
      </c>
      <c r="E772" s="5" t="str">
        <f>"王井贤"</f>
        <v>王井贤</v>
      </c>
      <c r="F772" s="5" t="str">
        <f t="shared" si="219"/>
        <v>男</v>
      </c>
      <c r="G772" s="5" t="str">
        <f>"1986-08-12"</f>
        <v>1986-08-12</v>
      </c>
      <c r="H772" s="5" t="str">
        <f>"南阳理工学院"</f>
        <v>南阳理工学院</v>
      </c>
    </row>
    <row r="773" s="2" customFormat="1" ht="20" customHeight="1" spans="1:8">
      <c r="A773" s="5">
        <v>771</v>
      </c>
      <c r="B773" s="5" t="str">
        <f>"223220191125154712212254"</f>
        <v>223220191125154712212254</v>
      </c>
      <c r="C773" s="5" t="s">
        <v>37</v>
      </c>
      <c r="D773" s="5" t="s">
        <v>38</v>
      </c>
      <c r="E773" s="5" t="str">
        <f>"唐玉翠"</f>
        <v>唐玉翠</v>
      </c>
      <c r="F773" s="5" t="str">
        <f t="shared" ref="F773:F777" si="220">"女"</f>
        <v>女</v>
      </c>
      <c r="G773" s="5" t="str">
        <f>"1988-02-18"</f>
        <v>1988-02-18</v>
      </c>
      <c r="H773" s="5" t="str">
        <f>"琼州学院"</f>
        <v>琼州学院</v>
      </c>
    </row>
    <row r="774" s="2" customFormat="1" ht="20" customHeight="1" spans="1:8">
      <c r="A774" s="5">
        <v>772</v>
      </c>
      <c r="B774" s="5" t="str">
        <f>"223220191125163146212314"</f>
        <v>223220191125163146212314</v>
      </c>
      <c r="C774" s="5" t="s">
        <v>37</v>
      </c>
      <c r="D774" s="5" t="s">
        <v>38</v>
      </c>
      <c r="E774" s="5" t="str">
        <f>"羊正道"</f>
        <v>羊正道</v>
      </c>
      <c r="F774" s="5" t="str">
        <f t="shared" ref="F774:F780" si="221">"男"</f>
        <v>男</v>
      </c>
      <c r="G774" s="5" t="str">
        <f>"1986-04-06"</f>
        <v>1986-04-06</v>
      </c>
      <c r="H774" s="5" t="str">
        <f>"哈尔滨金融高等专科学校"</f>
        <v>哈尔滨金融高等专科学校</v>
      </c>
    </row>
    <row r="775" s="2" customFormat="1" ht="20" customHeight="1" spans="1:8">
      <c r="A775" s="5">
        <v>773</v>
      </c>
      <c r="B775" s="5" t="str">
        <f>"223220191125163700212323"</f>
        <v>223220191125163700212323</v>
      </c>
      <c r="C775" s="5" t="s">
        <v>37</v>
      </c>
      <c r="D775" s="5" t="s">
        <v>38</v>
      </c>
      <c r="E775" s="5" t="str">
        <f>"黎启翠"</f>
        <v>黎启翠</v>
      </c>
      <c r="F775" s="5" t="str">
        <f t="shared" ref="F775:F777" si="222">"女"</f>
        <v>女</v>
      </c>
      <c r="G775" s="5" t="str">
        <f>"1992-03-16"</f>
        <v>1992-03-16</v>
      </c>
      <c r="H775" s="5" t="str">
        <f>"广东工业大学"</f>
        <v>广东工业大学</v>
      </c>
    </row>
    <row r="776" s="2" customFormat="1" ht="20" customHeight="1" spans="1:8">
      <c r="A776" s="5">
        <v>774</v>
      </c>
      <c r="B776" s="5" t="str">
        <f>"223220191125173332212392"</f>
        <v>223220191125173332212392</v>
      </c>
      <c r="C776" s="5" t="s">
        <v>37</v>
      </c>
      <c r="D776" s="5" t="s">
        <v>38</v>
      </c>
      <c r="E776" s="5" t="str">
        <f>"陈桃丹"</f>
        <v>陈桃丹</v>
      </c>
      <c r="F776" s="5" t="str">
        <f t="shared" si="222"/>
        <v>女</v>
      </c>
      <c r="G776" s="5" t="str">
        <f>"1993-02-10"</f>
        <v>1993-02-10</v>
      </c>
      <c r="H776" s="5" t="str">
        <f>"海口经济学院"</f>
        <v>海口经济学院</v>
      </c>
    </row>
    <row r="777" s="2" customFormat="1" ht="20" customHeight="1" spans="1:8">
      <c r="A777" s="5">
        <v>775</v>
      </c>
      <c r="B777" s="5" t="str">
        <f>"223220191125194809212546"</f>
        <v>223220191125194809212546</v>
      </c>
      <c r="C777" s="5" t="s">
        <v>37</v>
      </c>
      <c r="D777" s="5" t="s">
        <v>38</v>
      </c>
      <c r="E777" s="5" t="str">
        <f>"李梅青"</f>
        <v>李梅青</v>
      </c>
      <c r="F777" s="5" t="str">
        <f t="shared" si="222"/>
        <v>女</v>
      </c>
      <c r="G777" s="5" t="str">
        <f>"1995-09-26"</f>
        <v>1995-09-26</v>
      </c>
      <c r="H777" s="5" t="str">
        <f>"海南热带海洋学院"</f>
        <v>海南热带海洋学院</v>
      </c>
    </row>
    <row r="778" s="2" customFormat="1" ht="20" customHeight="1" spans="1:8">
      <c r="A778" s="5">
        <v>776</v>
      </c>
      <c r="B778" s="5" t="str">
        <f>"223220191125202147212597"</f>
        <v>223220191125202147212597</v>
      </c>
      <c r="C778" s="5" t="s">
        <v>37</v>
      </c>
      <c r="D778" s="5" t="s">
        <v>38</v>
      </c>
      <c r="E778" s="5" t="str">
        <f>"李克伟"</f>
        <v>李克伟</v>
      </c>
      <c r="F778" s="5" t="str">
        <f t="shared" ref="F778:F780" si="223">"男"</f>
        <v>男</v>
      </c>
      <c r="G778" s="5" t="str">
        <f>"1991-04-01"</f>
        <v>1991-04-01</v>
      </c>
      <c r="H778" s="5" t="str">
        <f>"长安大学"</f>
        <v>长安大学</v>
      </c>
    </row>
    <row r="779" s="2" customFormat="1" ht="20" customHeight="1" spans="1:8">
      <c r="A779" s="5">
        <v>777</v>
      </c>
      <c r="B779" s="5" t="str">
        <f>"223220191125212239212686"</f>
        <v>223220191125212239212686</v>
      </c>
      <c r="C779" s="5" t="s">
        <v>37</v>
      </c>
      <c r="D779" s="5" t="s">
        <v>38</v>
      </c>
      <c r="E779" s="5" t="str">
        <f>"林鹏祺"</f>
        <v>林鹏祺</v>
      </c>
      <c r="F779" s="5" t="str">
        <f t="shared" si="223"/>
        <v>男</v>
      </c>
      <c r="G779" s="5" t="str">
        <f>"1995-09-19"</f>
        <v>1995-09-19</v>
      </c>
      <c r="H779" s="5" t="str">
        <f>"海口经济学院"</f>
        <v>海口经济学院</v>
      </c>
    </row>
    <row r="780" s="2" customFormat="1" ht="20" customHeight="1" spans="1:8">
      <c r="A780" s="5">
        <v>778</v>
      </c>
      <c r="B780" s="5" t="str">
        <f>"223220191125231659212804"</f>
        <v>223220191125231659212804</v>
      </c>
      <c r="C780" s="5" t="s">
        <v>37</v>
      </c>
      <c r="D780" s="5" t="s">
        <v>38</v>
      </c>
      <c r="E780" s="5" t="str">
        <f>"陈世华"</f>
        <v>陈世华</v>
      </c>
      <c r="F780" s="5" t="str">
        <f t="shared" si="223"/>
        <v>男</v>
      </c>
      <c r="G780" s="5" t="str">
        <f>"1991-02-21"</f>
        <v>1991-02-21</v>
      </c>
      <c r="H780" s="5" t="str">
        <f>"国家开放大学"</f>
        <v>国家开放大学</v>
      </c>
    </row>
    <row r="781" s="2" customFormat="1" ht="20" customHeight="1" spans="1:8">
      <c r="A781" s="5">
        <v>779</v>
      </c>
      <c r="B781" s="5" t="str">
        <f>"223220191125231823212806"</f>
        <v>223220191125231823212806</v>
      </c>
      <c r="C781" s="5" t="s">
        <v>37</v>
      </c>
      <c r="D781" s="5" t="s">
        <v>38</v>
      </c>
      <c r="E781" s="5" t="str">
        <f>"符新鹭"</f>
        <v>符新鹭</v>
      </c>
      <c r="F781" s="5" t="str">
        <f t="shared" ref="F781:F788" si="224">"女"</f>
        <v>女</v>
      </c>
      <c r="G781" s="5" t="str">
        <f>"1996-05-18"</f>
        <v>1996-05-18</v>
      </c>
      <c r="H781" s="5" t="str">
        <f>"河北外国语学院"</f>
        <v>河北外国语学院</v>
      </c>
    </row>
    <row r="782" s="2" customFormat="1" ht="20" customHeight="1" spans="1:8">
      <c r="A782" s="5">
        <v>780</v>
      </c>
      <c r="B782" s="5" t="str">
        <f>"223220191126080528212855"</f>
        <v>223220191126080528212855</v>
      </c>
      <c r="C782" s="5" t="s">
        <v>37</v>
      </c>
      <c r="D782" s="5" t="s">
        <v>38</v>
      </c>
      <c r="E782" s="5" t="str">
        <f>"林会高"</f>
        <v>林会高</v>
      </c>
      <c r="F782" s="5" t="str">
        <f t="shared" ref="F782:F785" si="225">"男"</f>
        <v>男</v>
      </c>
      <c r="G782" s="5" t="str">
        <f>"1992-04-15"</f>
        <v>1992-04-15</v>
      </c>
      <c r="H782" s="5" t="str">
        <f>"琼台师范高等专科学校"</f>
        <v>琼台师范高等专科学校</v>
      </c>
    </row>
    <row r="783" s="2" customFormat="1" ht="20" customHeight="1" spans="1:8">
      <c r="A783" s="5">
        <v>781</v>
      </c>
      <c r="B783" s="5" t="str">
        <f>"223220191126085547212979"</f>
        <v>223220191126085547212979</v>
      </c>
      <c r="C783" s="5" t="s">
        <v>37</v>
      </c>
      <c r="D783" s="5" t="s">
        <v>38</v>
      </c>
      <c r="E783" s="5" t="str">
        <f>"何秀君"</f>
        <v>何秀君</v>
      </c>
      <c r="F783" s="5" t="str">
        <f t="shared" ref="F783:F788" si="226">"女"</f>
        <v>女</v>
      </c>
      <c r="G783" s="5" t="str">
        <f>"1994-04-30"</f>
        <v>1994-04-30</v>
      </c>
      <c r="H783" s="5" t="str">
        <f>"兰州财经大学"</f>
        <v>兰州财经大学</v>
      </c>
    </row>
    <row r="784" s="2" customFormat="1" ht="20" customHeight="1" spans="1:8">
      <c r="A784" s="5">
        <v>782</v>
      </c>
      <c r="B784" s="5" t="str">
        <f>"223220191126091205213043"</f>
        <v>223220191126091205213043</v>
      </c>
      <c r="C784" s="5" t="s">
        <v>37</v>
      </c>
      <c r="D784" s="5" t="s">
        <v>38</v>
      </c>
      <c r="E784" s="5" t="str">
        <f>"吴应绵"</f>
        <v>吴应绵</v>
      </c>
      <c r="F784" s="5" t="str">
        <f>"男"</f>
        <v>男</v>
      </c>
      <c r="G784" s="5" t="str">
        <f>"1985-03-24"</f>
        <v>1985-03-24</v>
      </c>
      <c r="H784" s="5" t="str">
        <f>"海南省琼州学院"</f>
        <v>海南省琼州学院</v>
      </c>
    </row>
    <row r="785" s="2" customFormat="1" ht="20" customHeight="1" spans="1:8">
      <c r="A785" s="5">
        <v>783</v>
      </c>
      <c r="B785" s="5" t="str">
        <f>"223220191126094957213213"</f>
        <v>223220191126094957213213</v>
      </c>
      <c r="C785" s="5" t="s">
        <v>37</v>
      </c>
      <c r="D785" s="5" t="s">
        <v>38</v>
      </c>
      <c r="E785" s="5" t="str">
        <f>"胡凯"</f>
        <v>胡凯</v>
      </c>
      <c r="F785" s="5" t="str">
        <f>"男"</f>
        <v>男</v>
      </c>
      <c r="G785" s="5" t="str">
        <f>"1995-11-10"</f>
        <v>1995-11-10</v>
      </c>
      <c r="H785" s="5" t="str">
        <f>"海口经济学院"</f>
        <v>海口经济学院</v>
      </c>
    </row>
    <row r="786" s="2" customFormat="1" ht="20" customHeight="1" spans="1:8">
      <c r="A786" s="5">
        <v>784</v>
      </c>
      <c r="B786" s="5" t="str">
        <f>"223220191126095851213251"</f>
        <v>223220191126095851213251</v>
      </c>
      <c r="C786" s="5" t="s">
        <v>37</v>
      </c>
      <c r="D786" s="5" t="s">
        <v>38</v>
      </c>
      <c r="E786" s="5" t="str">
        <f>"符礼芳"</f>
        <v>符礼芳</v>
      </c>
      <c r="F786" s="5" t="str">
        <f>"女"</f>
        <v>女</v>
      </c>
      <c r="G786" s="5" t="str">
        <f>"1995-07-07"</f>
        <v>1995-07-07</v>
      </c>
      <c r="H786" s="5" t="str">
        <f>"杭州师范大学"</f>
        <v>杭州师范大学</v>
      </c>
    </row>
    <row r="787" s="2" customFormat="1" ht="20" customHeight="1" spans="1:8">
      <c r="A787" s="5">
        <v>785</v>
      </c>
      <c r="B787" s="5" t="str">
        <f>"223220191126110203213480"</f>
        <v>223220191126110203213480</v>
      </c>
      <c r="C787" s="5" t="s">
        <v>37</v>
      </c>
      <c r="D787" s="5" t="s">
        <v>38</v>
      </c>
      <c r="E787" s="5" t="str">
        <f>"吕秀娇"</f>
        <v>吕秀娇</v>
      </c>
      <c r="F787" s="5" t="str">
        <f>"女"</f>
        <v>女</v>
      </c>
      <c r="G787" s="5" t="str">
        <f>"1985-07-03"</f>
        <v>1985-07-03</v>
      </c>
      <c r="H787" s="5" t="str">
        <f>"海南外国语职业学院"</f>
        <v>海南外国语职业学院</v>
      </c>
    </row>
    <row r="788" s="2" customFormat="1" ht="20" customHeight="1" spans="1:8">
      <c r="A788" s="5">
        <v>786</v>
      </c>
      <c r="B788" s="5" t="str">
        <f>"223220191126113949213605"</f>
        <v>223220191126113949213605</v>
      </c>
      <c r="C788" s="5" t="s">
        <v>37</v>
      </c>
      <c r="D788" s="5" t="s">
        <v>38</v>
      </c>
      <c r="E788" s="5" t="str">
        <f>"苏小艳"</f>
        <v>苏小艳</v>
      </c>
      <c r="F788" s="5" t="str">
        <f>"女"</f>
        <v>女</v>
      </c>
      <c r="G788" s="5" t="str">
        <f>"1992-09-02"</f>
        <v>1992-09-02</v>
      </c>
      <c r="H788" s="5" t="str">
        <f>"广西工程职业学院"</f>
        <v>广西工程职业学院</v>
      </c>
    </row>
    <row r="789" s="2" customFormat="1" ht="20" customHeight="1" spans="1:8">
      <c r="A789" s="5">
        <v>787</v>
      </c>
      <c r="B789" s="5" t="str">
        <f>"223220191126202944214659"</f>
        <v>223220191126202944214659</v>
      </c>
      <c r="C789" s="5" t="s">
        <v>37</v>
      </c>
      <c r="D789" s="5" t="s">
        <v>38</v>
      </c>
      <c r="E789" s="5" t="str">
        <f>"岑映兵"</f>
        <v>岑映兵</v>
      </c>
      <c r="F789" s="5" t="str">
        <f t="shared" ref="F789:F794" si="227">"男"</f>
        <v>男</v>
      </c>
      <c r="G789" s="5" t="str">
        <f>"1991-07-29"</f>
        <v>1991-07-29</v>
      </c>
      <c r="H789" s="5" t="str">
        <f>"四川工程职业技术学院"</f>
        <v>四川工程职业技术学院</v>
      </c>
    </row>
    <row r="790" s="2" customFormat="1" ht="20" customHeight="1" spans="1:8">
      <c r="A790" s="5">
        <v>788</v>
      </c>
      <c r="B790" s="5" t="str">
        <f>"223220191127085347215048"</f>
        <v>223220191127085347215048</v>
      </c>
      <c r="C790" s="5" t="s">
        <v>37</v>
      </c>
      <c r="D790" s="5" t="s">
        <v>38</v>
      </c>
      <c r="E790" s="5" t="str">
        <f>"邱万丽"</f>
        <v>邱万丽</v>
      </c>
      <c r="F790" s="5" t="str">
        <f t="shared" ref="F790:F798" si="228">"女"</f>
        <v>女</v>
      </c>
      <c r="G790" s="5" t="str">
        <f>"1993-02-28"</f>
        <v>1993-02-28</v>
      </c>
      <c r="H790" s="5" t="str">
        <f>"安徽工商职业学院"</f>
        <v>安徽工商职业学院</v>
      </c>
    </row>
    <row r="791" s="2" customFormat="1" ht="20" customHeight="1" spans="1:8">
      <c r="A791" s="5">
        <v>789</v>
      </c>
      <c r="B791" s="5" t="str">
        <f>"223220191127113836215330"</f>
        <v>223220191127113836215330</v>
      </c>
      <c r="C791" s="5" t="s">
        <v>37</v>
      </c>
      <c r="D791" s="5" t="s">
        <v>38</v>
      </c>
      <c r="E791" s="5" t="str">
        <f>"李成艳"</f>
        <v>李成艳</v>
      </c>
      <c r="F791" s="5" t="str">
        <f t="shared" si="228"/>
        <v>女</v>
      </c>
      <c r="G791" s="5" t="str">
        <f>"1985-09-21"</f>
        <v>1985-09-21</v>
      </c>
      <c r="H791" s="5" t="str">
        <f>"贵州省贵阳学院"</f>
        <v>贵州省贵阳学院</v>
      </c>
    </row>
    <row r="792" s="2" customFormat="1" ht="20" customHeight="1" spans="1:8">
      <c r="A792" s="5">
        <v>790</v>
      </c>
      <c r="B792" s="5" t="str">
        <f>"223220191127121732215385"</f>
        <v>223220191127121732215385</v>
      </c>
      <c r="C792" s="5" t="s">
        <v>37</v>
      </c>
      <c r="D792" s="5" t="s">
        <v>38</v>
      </c>
      <c r="E792" s="5" t="str">
        <f>"符伟"</f>
        <v>符伟</v>
      </c>
      <c r="F792" s="5" t="str">
        <f t="shared" ref="F792:F794" si="229">"男"</f>
        <v>男</v>
      </c>
      <c r="G792" s="5" t="str">
        <f>"1993-02-19"</f>
        <v>1993-02-19</v>
      </c>
      <c r="H792" s="5" t="str">
        <f>"广州华立科技职业学院"</f>
        <v>广州华立科技职业学院</v>
      </c>
    </row>
    <row r="793" s="2" customFormat="1" ht="20" customHeight="1" spans="1:8">
      <c r="A793" s="5">
        <v>791</v>
      </c>
      <c r="B793" s="5" t="str">
        <f>"223220191127122912215400"</f>
        <v>223220191127122912215400</v>
      </c>
      <c r="C793" s="5" t="s">
        <v>37</v>
      </c>
      <c r="D793" s="5" t="s">
        <v>38</v>
      </c>
      <c r="E793" s="5" t="str">
        <f>"林名海"</f>
        <v>林名海</v>
      </c>
      <c r="F793" s="5" t="str">
        <f t="shared" si="229"/>
        <v>男</v>
      </c>
      <c r="G793" s="5" t="str">
        <f>"1996-01-11"</f>
        <v>1996-01-11</v>
      </c>
      <c r="H793" s="5" t="str">
        <f>"桂林理工大学"</f>
        <v>桂林理工大学</v>
      </c>
    </row>
    <row r="794" s="2" customFormat="1" ht="20" customHeight="1" spans="1:8">
      <c r="A794" s="5">
        <v>792</v>
      </c>
      <c r="B794" s="5" t="str">
        <f>"223220191127153939215649"</f>
        <v>223220191127153939215649</v>
      </c>
      <c r="C794" s="5" t="s">
        <v>37</v>
      </c>
      <c r="D794" s="5" t="s">
        <v>38</v>
      </c>
      <c r="E794" s="5" t="str">
        <f>"陈俊桔"</f>
        <v>陈俊桔</v>
      </c>
      <c r="F794" s="5" t="str">
        <f t="shared" si="229"/>
        <v>男</v>
      </c>
      <c r="G794" s="5" t="str">
        <f>"1993-04-22"</f>
        <v>1993-04-22</v>
      </c>
      <c r="H794" s="5" t="str">
        <f>"西京学院"</f>
        <v>西京学院</v>
      </c>
    </row>
    <row r="795" s="2" customFormat="1" ht="20" customHeight="1" spans="1:8">
      <c r="A795" s="5">
        <v>793</v>
      </c>
      <c r="B795" s="5" t="str">
        <f>"223220191127155018215666"</f>
        <v>223220191127155018215666</v>
      </c>
      <c r="C795" s="5" t="s">
        <v>37</v>
      </c>
      <c r="D795" s="5" t="s">
        <v>38</v>
      </c>
      <c r="E795" s="5" t="str">
        <f>"陈秀燕"</f>
        <v>陈秀燕</v>
      </c>
      <c r="F795" s="5" t="str">
        <f t="shared" ref="F795:F798" si="230">"女"</f>
        <v>女</v>
      </c>
      <c r="G795" s="5" t="str">
        <f>"1992-01-07"</f>
        <v>1992-01-07</v>
      </c>
      <c r="H795" s="5" t="str">
        <f>"宜宾学院"</f>
        <v>宜宾学院</v>
      </c>
    </row>
    <row r="796" s="2" customFormat="1" ht="20" customHeight="1" spans="1:8">
      <c r="A796" s="5">
        <v>794</v>
      </c>
      <c r="B796" s="5" t="str">
        <f>"223220191127155907215685"</f>
        <v>223220191127155907215685</v>
      </c>
      <c r="C796" s="5" t="s">
        <v>37</v>
      </c>
      <c r="D796" s="5" t="s">
        <v>38</v>
      </c>
      <c r="E796" s="5" t="str">
        <f>"苻武秀"</f>
        <v>苻武秀</v>
      </c>
      <c r="F796" s="5" t="str">
        <f t="shared" si="230"/>
        <v>女</v>
      </c>
      <c r="G796" s="5" t="str">
        <f>"1993-01-05"</f>
        <v>1993-01-05</v>
      </c>
      <c r="H796" s="5" t="str">
        <f>"厦门海洋职业职业技术学院"</f>
        <v>厦门海洋职业职业技术学院</v>
      </c>
    </row>
    <row r="797" s="2" customFormat="1" ht="20" customHeight="1" spans="1:8">
      <c r="A797" s="5">
        <v>795</v>
      </c>
      <c r="B797" s="5" t="str">
        <f>"223220191127155957215687"</f>
        <v>223220191127155957215687</v>
      </c>
      <c r="C797" s="5" t="s">
        <v>37</v>
      </c>
      <c r="D797" s="5" t="s">
        <v>38</v>
      </c>
      <c r="E797" s="5" t="str">
        <f>"凌菁"</f>
        <v>凌菁</v>
      </c>
      <c r="F797" s="5" t="str">
        <f t="shared" si="230"/>
        <v>女</v>
      </c>
      <c r="G797" s="5" t="str">
        <f>"1996-11-07"</f>
        <v>1996-11-07</v>
      </c>
      <c r="H797" s="5" t="str">
        <f>"广州大学松田学院"</f>
        <v>广州大学松田学院</v>
      </c>
    </row>
    <row r="798" s="2" customFormat="1" ht="20" customHeight="1" spans="1:8">
      <c r="A798" s="5">
        <v>796</v>
      </c>
      <c r="B798" s="5" t="str">
        <f>"223220191127163943215759"</f>
        <v>223220191127163943215759</v>
      </c>
      <c r="C798" s="5" t="s">
        <v>37</v>
      </c>
      <c r="D798" s="5" t="s">
        <v>38</v>
      </c>
      <c r="E798" s="5" t="str">
        <f>"陈芳"</f>
        <v>陈芳</v>
      </c>
      <c r="F798" s="5" t="str">
        <f t="shared" si="230"/>
        <v>女</v>
      </c>
      <c r="G798" s="5" t="str">
        <f>"1999-10-07"</f>
        <v>1999-10-07</v>
      </c>
      <c r="H798" s="5" t="str">
        <f>"海南软件职业技术学院"</f>
        <v>海南软件职业技术学院</v>
      </c>
    </row>
    <row r="799" s="2" customFormat="1" ht="20" customHeight="1" spans="1:8">
      <c r="A799" s="5">
        <v>797</v>
      </c>
      <c r="B799" s="5" t="str">
        <f>"223220191127212634216130"</f>
        <v>223220191127212634216130</v>
      </c>
      <c r="C799" s="5" t="s">
        <v>37</v>
      </c>
      <c r="D799" s="5" t="s">
        <v>38</v>
      </c>
      <c r="E799" s="5" t="str">
        <f>"王天林"</f>
        <v>王天林</v>
      </c>
      <c r="F799" s="5" t="str">
        <f>"男"</f>
        <v>男</v>
      </c>
      <c r="G799" s="5" t="str">
        <f>"1993-02-28"</f>
        <v>1993-02-28</v>
      </c>
      <c r="H799" s="5" t="str">
        <f>"遵义医学院"</f>
        <v>遵义医学院</v>
      </c>
    </row>
    <row r="800" s="2" customFormat="1" ht="20" customHeight="1" spans="1:8">
      <c r="A800" s="5">
        <v>798</v>
      </c>
      <c r="B800" s="5" t="str">
        <f>"223220191127220305216175"</f>
        <v>223220191127220305216175</v>
      </c>
      <c r="C800" s="5" t="s">
        <v>37</v>
      </c>
      <c r="D800" s="5" t="s">
        <v>38</v>
      </c>
      <c r="E800" s="5" t="str">
        <f>"骆石彩"</f>
        <v>骆石彩</v>
      </c>
      <c r="F800" s="5" t="str">
        <f>"女"</f>
        <v>女</v>
      </c>
      <c r="G800" s="5" t="str">
        <f>"1996-08-03"</f>
        <v>1996-08-03</v>
      </c>
      <c r="H800" s="5" t="str">
        <f>"湖北中医药大学"</f>
        <v>湖北中医药大学</v>
      </c>
    </row>
    <row r="801" s="2" customFormat="1" ht="20" customHeight="1" spans="1:8">
      <c r="A801" s="5">
        <v>799</v>
      </c>
      <c r="B801" s="5" t="str">
        <f>"223220191127231015216239"</f>
        <v>223220191127231015216239</v>
      </c>
      <c r="C801" s="5" t="s">
        <v>37</v>
      </c>
      <c r="D801" s="5" t="s">
        <v>38</v>
      </c>
      <c r="E801" s="5" t="str">
        <f>"何智青"</f>
        <v>何智青</v>
      </c>
      <c r="F801" s="5" t="str">
        <f t="shared" ref="F801:F806" si="231">"男"</f>
        <v>男</v>
      </c>
      <c r="G801" s="5" t="str">
        <f>"1996-04-06"</f>
        <v>1996-04-06</v>
      </c>
      <c r="H801" s="5" t="str">
        <f>"山西大同大学"</f>
        <v>山西大同大学</v>
      </c>
    </row>
    <row r="802" s="2" customFormat="1" ht="20" customHeight="1" spans="1:8">
      <c r="A802" s="5">
        <v>800</v>
      </c>
      <c r="B802" s="5" t="str">
        <f>"223220191128090532216343"</f>
        <v>223220191128090532216343</v>
      </c>
      <c r="C802" s="5" t="s">
        <v>37</v>
      </c>
      <c r="D802" s="5" t="s">
        <v>38</v>
      </c>
      <c r="E802" s="5" t="str">
        <f>"郭文凯"</f>
        <v>郭文凯</v>
      </c>
      <c r="F802" s="5" t="str">
        <f t="shared" si="231"/>
        <v>男</v>
      </c>
      <c r="G802" s="5" t="str">
        <f>"1994-11-13"</f>
        <v>1994-11-13</v>
      </c>
      <c r="H802" s="5" t="str">
        <f>"广西大学行健文理学院"</f>
        <v>广西大学行健文理学院</v>
      </c>
    </row>
    <row r="803" s="2" customFormat="1" ht="20" customHeight="1" spans="1:8">
      <c r="A803" s="5">
        <v>801</v>
      </c>
      <c r="B803" s="5" t="str">
        <f>"223220191128092215216371"</f>
        <v>223220191128092215216371</v>
      </c>
      <c r="C803" s="5" t="s">
        <v>37</v>
      </c>
      <c r="D803" s="5" t="s">
        <v>38</v>
      </c>
      <c r="E803" s="5" t="str">
        <f>"张浩然"</f>
        <v>张浩然</v>
      </c>
      <c r="F803" s="5" t="str">
        <f t="shared" si="231"/>
        <v>男</v>
      </c>
      <c r="G803" s="5" t="str">
        <f>"1989-10-12"</f>
        <v>1989-10-12</v>
      </c>
      <c r="H803" s="5" t="str">
        <f>"江西中医药大学"</f>
        <v>江西中医药大学</v>
      </c>
    </row>
    <row r="804" s="2" customFormat="1" ht="20" customHeight="1" spans="1:8">
      <c r="A804" s="5">
        <v>802</v>
      </c>
      <c r="B804" s="5" t="str">
        <f>"223220191128093457216394"</f>
        <v>223220191128093457216394</v>
      </c>
      <c r="C804" s="5" t="s">
        <v>37</v>
      </c>
      <c r="D804" s="5" t="s">
        <v>38</v>
      </c>
      <c r="E804" s="5" t="str">
        <f>"曾繁华"</f>
        <v>曾繁华</v>
      </c>
      <c r="F804" s="5" t="str">
        <f t="shared" si="231"/>
        <v>男</v>
      </c>
      <c r="G804" s="5" t="str">
        <f>"1992-01-12"</f>
        <v>1992-01-12</v>
      </c>
      <c r="H804" s="5" t="str">
        <f>"云南师范大学文理学院"</f>
        <v>云南师范大学文理学院</v>
      </c>
    </row>
    <row r="805" s="2" customFormat="1" ht="20" customHeight="1" spans="1:8">
      <c r="A805" s="5">
        <v>803</v>
      </c>
      <c r="B805" s="5" t="str">
        <f>"223220191128100014216431"</f>
        <v>223220191128100014216431</v>
      </c>
      <c r="C805" s="5" t="s">
        <v>37</v>
      </c>
      <c r="D805" s="5" t="s">
        <v>38</v>
      </c>
      <c r="E805" s="5" t="str">
        <f>"李文精"</f>
        <v>李文精</v>
      </c>
      <c r="F805" s="5" t="str">
        <f t="shared" si="231"/>
        <v>男</v>
      </c>
      <c r="G805" s="5" t="str">
        <f>"1991-11-23"</f>
        <v>1991-11-23</v>
      </c>
      <c r="H805" s="5" t="str">
        <f>"海南政法职业学院"</f>
        <v>海南政法职业学院</v>
      </c>
    </row>
    <row r="806" s="2" customFormat="1" ht="20" customHeight="1" spans="1:8">
      <c r="A806" s="5">
        <v>804</v>
      </c>
      <c r="B806" s="5" t="str">
        <f>"223220191128101315216449"</f>
        <v>223220191128101315216449</v>
      </c>
      <c r="C806" s="5" t="s">
        <v>37</v>
      </c>
      <c r="D806" s="5" t="s">
        <v>38</v>
      </c>
      <c r="E806" s="5" t="str">
        <f>"陈多谋"</f>
        <v>陈多谋</v>
      </c>
      <c r="F806" s="5" t="str">
        <f t="shared" si="231"/>
        <v>男</v>
      </c>
      <c r="G806" s="5" t="str">
        <f>"1988-09-03"</f>
        <v>1988-09-03</v>
      </c>
      <c r="H806" s="5" t="str">
        <f>"长沙民政职业技术学院"</f>
        <v>长沙民政职业技术学院</v>
      </c>
    </row>
    <row r="807" s="2" customFormat="1" ht="20" customHeight="1" spans="1:8">
      <c r="A807" s="5">
        <v>805</v>
      </c>
      <c r="B807" s="5" t="str">
        <f>"223220191128113630216565"</f>
        <v>223220191128113630216565</v>
      </c>
      <c r="C807" s="5" t="s">
        <v>37</v>
      </c>
      <c r="D807" s="5" t="s">
        <v>38</v>
      </c>
      <c r="E807" s="5" t="str">
        <f>"何小燕"</f>
        <v>何小燕</v>
      </c>
      <c r="F807" s="5" t="str">
        <f t="shared" ref="F807:F814" si="232">"女"</f>
        <v>女</v>
      </c>
      <c r="G807" s="5" t="str">
        <f>"1985-08-02"</f>
        <v>1985-08-02</v>
      </c>
      <c r="H807" s="5" t="str">
        <f>"海南师范大学"</f>
        <v>海南师范大学</v>
      </c>
    </row>
    <row r="808" s="2" customFormat="1" ht="20" customHeight="1" spans="1:8">
      <c r="A808" s="5">
        <v>806</v>
      </c>
      <c r="B808" s="5" t="str">
        <f>"223220191128114856216585"</f>
        <v>223220191128114856216585</v>
      </c>
      <c r="C808" s="5" t="s">
        <v>37</v>
      </c>
      <c r="D808" s="5" t="s">
        <v>38</v>
      </c>
      <c r="E808" s="5" t="str">
        <f>"陈琼梅"</f>
        <v>陈琼梅</v>
      </c>
      <c r="F808" s="5" t="str">
        <f t="shared" si="232"/>
        <v>女</v>
      </c>
      <c r="G808" s="5" t="str">
        <f>"1985-01-17"</f>
        <v>1985-01-17</v>
      </c>
      <c r="H808" s="5" t="str">
        <f>"海南省琼州学院"</f>
        <v>海南省琼州学院</v>
      </c>
    </row>
    <row r="809" s="2" customFormat="1" ht="20" customHeight="1" spans="1:8">
      <c r="A809" s="5">
        <v>807</v>
      </c>
      <c r="B809" s="5" t="str">
        <f>"223220191128202344217142"</f>
        <v>223220191128202344217142</v>
      </c>
      <c r="C809" s="5" t="s">
        <v>37</v>
      </c>
      <c r="D809" s="5" t="s">
        <v>38</v>
      </c>
      <c r="E809" s="5" t="str">
        <f>"薛显博"</f>
        <v>薛显博</v>
      </c>
      <c r="F809" s="5" t="str">
        <f>"男"</f>
        <v>男</v>
      </c>
      <c r="G809" s="5" t="str">
        <f>"1990-05-01"</f>
        <v>1990-05-01</v>
      </c>
      <c r="H809" s="5" t="str">
        <f>"成都理工大学工程技术学院"</f>
        <v>成都理工大学工程技术学院</v>
      </c>
    </row>
    <row r="810" s="2" customFormat="1" ht="20" customHeight="1" spans="1:8">
      <c r="A810" s="5">
        <v>808</v>
      </c>
      <c r="B810" s="5" t="str">
        <f>"223220191128221800217237"</f>
        <v>223220191128221800217237</v>
      </c>
      <c r="C810" s="5" t="s">
        <v>37</v>
      </c>
      <c r="D810" s="5" t="s">
        <v>38</v>
      </c>
      <c r="E810" s="5" t="str">
        <f>"李政彬"</f>
        <v>李政彬</v>
      </c>
      <c r="F810" s="5" t="str">
        <f>"男"</f>
        <v>男</v>
      </c>
      <c r="G810" s="5" t="str">
        <f>"1993-10-29"</f>
        <v>1993-10-29</v>
      </c>
      <c r="H810" s="5" t="str">
        <f>"烟台南山学院"</f>
        <v>烟台南山学院</v>
      </c>
    </row>
    <row r="811" s="2" customFormat="1" ht="20" customHeight="1" spans="1:8">
      <c r="A811" s="5">
        <v>809</v>
      </c>
      <c r="B811" s="5" t="str">
        <f>"223220191128223323217246"</f>
        <v>223220191128223323217246</v>
      </c>
      <c r="C811" s="5" t="s">
        <v>37</v>
      </c>
      <c r="D811" s="5" t="s">
        <v>38</v>
      </c>
      <c r="E811" s="5" t="str">
        <f>"李娟"</f>
        <v>李娟</v>
      </c>
      <c r="F811" s="5" t="str">
        <f t="shared" ref="F811:F814" si="233">"女"</f>
        <v>女</v>
      </c>
      <c r="G811" s="5" t="str">
        <f>"1993-04-12"</f>
        <v>1993-04-12</v>
      </c>
      <c r="H811" s="5" t="str">
        <f>"海南工商职业学院"</f>
        <v>海南工商职业学院</v>
      </c>
    </row>
    <row r="812" s="2" customFormat="1" ht="20" customHeight="1" spans="1:8">
      <c r="A812" s="5">
        <v>810</v>
      </c>
      <c r="B812" s="5" t="str">
        <f>"223220191129093159217361"</f>
        <v>223220191129093159217361</v>
      </c>
      <c r="C812" s="5" t="s">
        <v>37</v>
      </c>
      <c r="D812" s="5" t="s">
        <v>38</v>
      </c>
      <c r="E812" s="5" t="str">
        <f>"符玉秀"</f>
        <v>符玉秀</v>
      </c>
      <c r="F812" s="5" t="str">
        <f t="shared" si="233"/>
        <v>女</v>
      </c>
      <c r="G812" s="5" t="str">
        <f>"1995-02-05"</f>
        <v>1995-02-05</v>
      </c>
      <c r="H812" s="5" t="str">
        <f>"海南热带海洋学院"</f>
        <v>海南热带海洋学院</v>
      </c>
    </row>
    <row r="813" s="2" customFormat="1" ht="20" customHeight="1" spans="1:8">
      <c r="A813" s="5">
        <v>811</v>
      </c>
      <c r="B813" s="5" t="str">
        <f>"223220191129132600217535"</f>
        <v>223220191129132600217535</v>
      </c>
      <c r="C813" s="5" t="s">
        <v>37</v>
      </c>
      <c r="D813" s="5" t="s">
        <v>38</v>
      </c>
      <c r="E813" s="5" t="str">
        <f>"吴吉娜"</f>
        <v>吴吉娜</v>
      </c>
      <c r="F813" s="5" t="str">
        <f t="shared" si="233"/>
        <v>女</v>
      </c>
      <c r="G813" s="5" t="str">
        <f>"1996-03-27"</f>
        <v>1996-03-27</v>
      </c>
      <c r="H813" s="5" t="str">
        <f>"中国石油大学（北京）"</f>
        <v>中国石油大学（北京）</v>
      </c>
    </row>
    <row r="814" s="2" customFormat="1" ht="20" customHeight="1" spans="1:8">
      <c r="A814" s="5">
        <v>812</v>
      </c>
      <c r="B814" s="5" t="str">
        <f>"223220191129171443217692"</f>
        <v>223220191129171443217692</v>
      </c>
      <c r="C814" s="5" t="s">
        <v>37</v>
      </c>
      <c r="D814" s="5" t="s">
        <v>38</v>
      </c>
      <c r="E814" s="5" t="str">
        <f>"符美丽"</f>
        <v>符美丽</v>
      </c>
      <c r="F814" s="5" t="str">
        <f t="shared" si="233"/>
        <v>女</v>
      </c>
      <c r="G814" s="5" t="str">
        <f>"1992-08-02"</f>
        <v>1992-08-02</v>
      </c>
      <c r="H814" s="5" t="str">
        <f>"东北石油大学秦皇岛分校"</f>
        <v>东北石油大学秦皇岛分校</v>
      </c>
    </row>
    <row r="815" s="2" customFormat="1" ht="20" customHeight="1" spans="1:8">
      <c r="A815" s="5">
        <v>813</v>
      </c>
      <c r="B815" s="5" t="str">
        <f>"223220191130081623217909"</f>
        <v>223220191130081623217909</v>
      </c>
      <c r="C815" s="5" t="s">
        <v>37</v>
      </c>
      <c r="D815" s="5" t="s">
        <v>38</v>
      </c>
      <c r="E815" s="5" t="str">
        <f>"符江城"</f>
        <v>符江城</v>
      </c>
      <c r="F815" s="5" t="str">
        <f t="shared" ref="F815:F823" si="234">"男"</f>
        <v>男</v>
      </c>
      <c r="G815" s="5" t="str">
        <f>"1995-04-12"</f>
        <v>1995-04-12</v>
      </c>
      <c r="H815" s="5" t="str">
        <f>"江西理工大学应用科学学院"</f>
        <v>江西理工大学应用科学学院</v>
      </c>
    </row>
    <row r="816" s="2" customFormat="1" ht="20" customHeight="1" spans="1:8">
      <c r="A816" s="5">
        <v>814</v>
      </c>
      <c r="B816" s="5" t="str">
        <f>"223220191130102857217965"</f>
        <v>223220191130102857217965</v>
      </c>
      <c r="C816" s="5" t="s">
        <v>37</v>
      </c>
      <c r="D816" s="5" t="s">
        <v>38</v>
      </c>
      <c r="E816" s="5" t="str">
        <f>"黄启臣"</f>
        <v>黄启臣</v>
      </c>
      <c r="F816" s="5" t="str">
        <f t="shared" si="234"/>
        <v>男</v>
      </c>
      <c r="G816" s="5" t="str">
        <f>"1987-05-18"</f>
        <v>1987-05-18</v>
      </c>
      <c r="H816" s="5" t="str">
        <f>"陕西省警官职业学院"</f>
        <v>陕西省警官职业学院</v>
      </c>
    </row>
    <row r="817" s="2" customFormat="1" ht="20" customHeight="1" spans="1:8">
      <c r="A817" s="5">
        <v>815</v>
      </c>
      <c r="B817" s="5" t="str">
        <f>"223220191123080549209958"</f>
        <v>223220191123080549209958</v>
      </c>
      <c r="C817" s="5" t="s">
        <v>39</v>
      </c>
      <c r="D817" s="5" t="s">
        <v>40</v>
      </c>
      <c r="E817" s="5" t="str">
        <f>"黎海伟"</f>
        <v>黎海伟</v>
      </c>
      <c r="F817" s="5" t="str">
        <f t="shared" si="234"/>
        <v>男</v>
      </c>
      <c r="G817" s="5" t="str">
        <f>"1998-10-01"</f>
        <v>1998-10-01</v>
      </c>
      <c r="H817" s="5" t="str">
        <f>"海南热带海洋学院"</f>
        <v>海南热带海洋学院</v>
      </c>
    </row>
    <row r="818" s="2" customFormat="1" ht="20" customHeight="1" spans="1:8">
      <c r="A818" s="5">
        <v>816</v>
      </c>
      <c r="B818" s="5" t="str">
        <f>"223220191123080927209960"</f>
        <v>223220191123080927209960</v>
      </c>
      <c r="C818" s="5" t="s">
        <v>39</v>
      </c>
      <c r="D818" s="5" t="s">
        <v>40</v>
      </c>
      <c r="E818" s="5" t="str">
        <f>"苏义翔"</f>
        <v>苏义翔</v>
      </c>
      <c r="F818" s="5" t="str">
        <f t="shared" si="234"/>
        <v>男</v>
      </c>
      <c r="G818" s="5" t="str">
        <f>"1995-06-19"</f>
        <v>1995-06-19</v>
      </c>
      <c r="H818" s="5" t="str">
        <f>"广西财经学院"</f>
        <v>广西财经学院</v>
      </c>
    </row>
    <row r="819" s="2" customFormat="1" ht="20" customHeight="1" spans="1:8">
      <c r="A819" s="5">
        <v>817</v>
      </c>
      <c r="B819" s="5" t="str">
        <f>"223220191123090001209984"</f>
        <v>223220191123090001209984</v>
      </c>
      <c r="C819" s="5" t="s">
        <v>39</v>
      </c>
      <c r="D819" s="5" t="s">
        <v>40</v>
      </c>
      <c r="E819" s="5" t="str">
        <f>"蔡玉彪"</f>
        <v>蔡玉彪</v>
      </c>
      <c r="F819" s="5" t="str">
        <f t="shared" si="234"/>
        <v>男</v>
      </c>
      <c r="G819" s="5" t="str">
        <f>"1994-01-03"</f>
        <v>1994-01-03</v>
      </c>
      <c r="H819" s="5" t="str">
        <f>"河北工程大学"</f>
        <v>河北工程大学</v>
      </c>
    </row>
    <row r="820" s="2" customFormat="1" ht="20" customHeight="1" spans="1:8">
      <c r="A820" s="5">
        <v>818</v>
      </c>
      <c r="B820" s="5" t="str">
        <f>"223220191123095704210056"</f>
        <v>223220191123095704210056</v>
      </c>
      <c r="C820" s="5" t="s">
        <v>39</v>
      </c>
      <c r="D820" s="5" t="s">
        <v>40</v>
      </c>
      <c r="E820" s="5" t="str">
        <f>"郑炳夏"</f>
        <v>郑炳夏</v>
      </c>
      <c r="F820" s="5" t="str">
        <f t="shared" si="234"/>
        <v>男</v>
      </c>
      <c r="G820" s="5" t="str">
        <f>"1989-05-05"</f>
        <v>1989-05-05</v>
      </c>
      <c r="H820" s="5" t="str">
        <f>"湖南大众传媒职业技术学院"</f>
        <v>湖南大众传媒职业技术学院</v>
      </c>
    </row>
    <row r="821" s="2" customFormat="1" ht="20" customHeight="1" spans="1:8">
      <c r="A821" s="5">
        <v>819</v>
      </c>
      <c r="B821" s="5" t="str">
        <f>"223220191123101058210079"</f>
        <v>223220191123101058210079</v>
      </c>
      <c r="C821" s="5" t="s">
        <v>39</v>
      </c>
      <c r="D821" s="5" t="s">
        <v>40</v>
      </c>
      <c r="E821" s="5" t="str">
        <f>"薛有延"</f>
        <v>薛有延</v>
      </c>
      <c r="F821" s="5" t="str">
        <f t="shared" si="234"/>
        <v>男</v>
      </c>
      <c r="G821" s="5" t="str">
        <f>"1990-12-03"</f>
        <v>1990-12-03</v>
      </c>
      <c r="H821" s="5" t="str">
        <f>"泉州华光摄影艺术职业学院"</f>
        <v>泉州华光摄影艺术职业学院</v>
      </c>
    </row>
    <row r="822" s="2" customFormat="1" ht="20" customHeight="1" spans="1:8">
      <c r="A822" s="5">
        <v>820</v>
      </c>
      <c r="B822" s="5" t="str">
        <f>"223220191123101138210081"</f>
        <v>223220191123101138210081</v>
      </c>
      <c r="C822" s="5" t="s">
        <v>39</v>
      </c>
      <c r="D822" s="5" t="s">
        <v>40</v>
      </c>
      <c r="E822" s="5" t="str">
        <f>"周明"</f>
        <v>周明</v>
      </c>
      <c r="F822" s="5" t="str">
        <f t="shared" si="234"/>
        <v>男</v>
      </c>
      <c r="G822" s="5" t="str">
        <f>"1994-09-07"</f>
        <v>1994-09-07</v>
      </c>
      <c r="H822" s="5" t="str">
        <f>"武汉生物工程学院"</f>
        <v>武汉生物工程学院</v>
      </c>
    </row>
    <row r="823" s="2" customFormat="1" ht="20" customHeight="1" spans="1:8">
      <c r="A823" s="5">
        <v>821</v>
      </c>
      <c r="B823" s="5" t="str">
        <f>"223220191123102934210113"</f>
        <v>223220191123102934210113</v>
      </c>
      <c r="C823" s="5" t="s">
        <v>39</v>
      </c>
      <c r="D823" s="5" t="s">
        <v>40</v>
      </c>
      <c r="E823" s="5" t="str">
        <f>"薛以浩"</f>
        <v>薛以浩</v>
      </c>
      <c r="F823" s="5" t="str">
        <f t="shared" si="234"/>
        <v>男</v>
      </c>
      <c r="G823" s="5" t="str">
        <f>"1991-06-08"</f>
        <v>1991-06-08</v>
      </c>
      <c r="H823" s="5" t="str">
        <f>"江西理工大学应用科学学院"</f>
        <v>江西理工大学应用科学学院</v>
      </c>
    </row>
    <row r="824" s="2" customFormat="1" ht="20" customHeight="1" spans="1:8">
      <c r="A824" s="5">
        <v>822</v>
      </c>
      <c r="B824" s="5" t="str">
        <f>"223220191123103445210122"</f>
        <v>223220191123103445210122</v>
      </c>
      <c r="C824" s="5" t="s">
        <v>39</v>
      </c>
      <c r="D824" s="5" t="s">
        <v>40</v>
      </c>
      <c r="E824" s="5" t="str">
        <f>"谢爱玲"</f>
        <v>谢爱玲</v>
      </c>
      <c r="F824" s="5" t="str">
        <f t="shared" ref="F824:F827" si="235">"女"</f>
        <v>女</v>
      </c>
      <c r="G824" s="5" t="str">
        <f>"1995-09-18"</f>
        <v>1995-09-18</v>
      </c>
      <c r="H824" s="5" t="str">
        <f>"云南师范大学商学院"</f>
        <v>云南师范大学商学院</v>
      </c>
    </row>
    <row r="825" s="2" customFormat="1" ht="20" customHeight="1" spans="1:8">
      <c r="A825" s="5">
        <v>823</v>
      </c>
      <c r="B825" s="5" t="str">
        <f>"223220191123103758210126"</f>
        <v>223220191123103758210126</v>
      </c>
      <c r="C825" s="5" t="s">
        <v>39</v>
      </c>
      <c r="D825" s="5" t="s">
        <v>40</v>
      </c>
      <c r="E825" s="5" t="str">
        <f>"许婷婷"</f>
        <v>许婷婷</v>
      </c>
      <c r="F825" s="5" t="str">
        <f t="shared" si="235"/>
        <v>女</v>
      </c>
      <c r="G825" s="5" t="str">
        <f>"1997-03-08"</f>
        <v>1997-03-08</v>
      </c>
      <c r="H825" s="5" t="str">
        <f>"烟台南山学院"</f>
        <v>烟台南山学院</v>
      </c>
    </row>
    <row r="826" s="2" customFormat="1" ht="20" customHeight="1" spans="1:8">
      <c r="A826" s="5">
        <v>824</v>
      </c>
      <c r="B826" s="5" t="str">
        <f>"223220191123105741210152"</f>
        <v>223220191123105741210152</v>
      </c>
      <c r="C826" s="5" t="s">
        <v>39</v>
      </c>
      <c r="D826" s="5" t="s">
        <v>40</v>
      </c>
      <c r="E826" s="5" t="str">
        <f>"吴昕昊"</f>
        <v>吴昕昊</v>
      </c>
      <c r="F826" s="5" t="str">
        <f>"男"</f>
        <v>男</v>
      </c>
      <c r="G826" s="5" t="str">
        <f>"1998-04-11"</f>
        <v>1998-04-11</v>
      </c>
      <c r="H826" s="5" t="str">
        <f>"浙江旅游职业学院"</f>
        <v>浙江旅游职业学院</v>
      </c>
    </row>
    <row r="827" s="2" customFormat="1" ht="20" customHeight="1" spans="1:8">
      <c r="A827" s="5">
        <v>825</v>
      </c>
      <c r="B827" s="5" t="str">
        <f>"223220191123110216210160"</f>
        <v>223220191123110216210160</v>
      </c>
      <c r="C827" s="5" t="s">
        <v>39</v>
      </c>
      <c r="D827" s="5" t="s">
        <v>40</v>
      </c>
      <c r="E827" s="5" t="str">
        <f>"谢金桃"</f>
        <v>谢金桃</v>
      </c>
      <c r="F827" s="5" t="str">
        <f>"女"</f>
        <v>女</v>
      </c>
      <c r="G827" s="5" t="str">
        <f>"1992-09-27"</f>
        <v>1992-09-27</v>
      </c>
      <c r="H827" s="5" t="str">
        <f>"海南大学"</f>
        <v>海南大学</v>
      </c>
    </row>
    <row r="828" s="2" customFormat="1" ht="20" customHeight="1" spans="1:8">
      <c r="A828" s="5">
        <v>826</v>
      </c>
      <c r="B828" s="5" t="str">
        <f>"223220191123111600210179"</f>
        <v>223220191123111600210179</v>
      </c>
      <c r="C828" s="5" t="s">
        <v>39</v>
      </c>
      <c r="D828" s="5" t="s">
        <v>40</v>
      </c>
      <c r="E828" s="5" t="str">
        <f>"陈壮学"</f>
        <v>陈壮学</v>
      </c>
      <c r="F828" s="5" t="str">
        <f t="shared" ref="F828:F833" si="236">"男"</f>
        <v>男</v>
      </c>
      <c r="G828" s="5" t="str">
        <f>"1990-02-05"</f>
        <v>1990-02-05</v>
      </c>
      <c r="H828" s="5" t="str">
        <f>"海南软件职业技术学院"</f>
        <v>海南软件职业技术学院</v>
      </c>
    </row>
    <row r="829" s="2" customFormat="1" ht="20" customHeight="1" spans="1:8">
      <c r="A829" s="5">
        <v>827</v>
      </c>
      <c r="B829" s="5" t="str">
        <f>"223220191123112149210183"</f>
        <v>223220191123112149210183</v>
      </c>
      <c r="C829" s="5" t="s">
        <v>39</v>
      </c>
      <c r="D829" s="5" t="s">
        <v>40</v>
      </c>
      <c r="E829" s="5" t="str">
        <f>"王俊贤"</f>
        <v>王俊贤</v>
      </c>
      <c r="F829" s="5" t="str">
        <f t="shared" si="236"/>
        <v>男</v>
      </c>
      <c r="G829" s="5" t="str">
        <f>"1990-11-10"</f>
        <v>1990-11-10</v>
      </c>
      <c r="H829" s="5" t="str">
        <f>"海南医学院"</f>
        <v>海南医学院</v>
      </c>
    </row>
    <row r="830" s="2" customFormat="1" ht="20" customHeight="1" spans="1:8">
      <c r="A830" s="5">
        <v>828</v>
      </c>
      <c r="B830" s="5" t="str">
        <f>"223220191123114733210207"</f>
        <v>223220191123114733210207</v>
      </c>
      <c r="C830" s="5" t="s">
        <v>39</v>
      </c>
      <c r="D830" s="5" t="s">
        <v>40</v>
      </c>
      <c r="E830" s="5" t="str">
        <f>"王道主"</f>
        <v>王道主</v>
      </c>
      <c r="F830" s="5" t="str">
        <f t="shared" si="236"/>
        <v>男</v>
      </c>
      <c r="G830" s="5" t="str">
        <f>"1993-04-01"</f>
        <v>1993-04-01</v>
      </c>
      <c r="H830" s="5" t="str">
        <f>"海南大学"</f>
        <v>海南大学</v>
      </c>
    </row>
    <row r="831" s="2" customFormat="1" ht="20" customHeight="1" spans="1:8">
      <c r="A831" s="5">
        <v>829</v>
      </c>
      <c r="B831" s="5" t="str">
        <f>"223220191123120711210234"</f>
        <v>223220191123120711210234</v>
      </c>
      <c r="C831" s="5" t="s">
        <v>39</v>
      </c>
      <c r="D831" s="5" t="s">
        <v>40</v>
      </c>
      <c r="E831" s="5" t="str">
        <f>"梁树海"</f>
        <v>梁树海</v>
      </c>
      <c r="F831" s="5" t="str">
        <f t="shared" si="236"/>
        <v>男</v>
      </c>
      <c r="G831" s="5" t="str">
        <f>"1987-12-08"</f>
        <v>1987-12-08</v>
      </c>
      <c r="H831" s="5" t="str">
        <f>"琼台师范高等专科学校"</f>
        <v>琼台师范高等专科学校</v>
      </c>
    </row>
    <row r="832" s="2" customFormat="1" ht="20" customHeight="1" spans="1:8">
      <c r="A832" s="5">
        <v>830</v>
      </c>
      <c r="B832" s="5" t="str">
        <f>"223220191123121827210247"</f>
        <v>223220191123121827210247</v>
      </c>
      <c r="C832" s="5" t="s">
        <v>39</v>
      </c>
      <c r="D832" s="5" t="s">
        <v>40</v>
      </c>
      <c r="E832" s="5" t="str">
        <f>"谢建清"</f>
        <v>谢建清</v>
      </c>
      <c r="F832" s="5" t="str">
        <f t="shared" si="236"/>
        <v>男</v>
      </c>
      <c r="G832" s="5" t="str">
        <f>"1985-08-08"</f>
        <v>1985-08-08</v>
      </c>
      <c r="H832" s="5" t="str">
        <f>"井冈山大学"</f>
        <v>井冈山大学</v>
      </c>
    </row>
    <row r="833" s="2" customFormat="1" ht="20" customHeight="1" spans="1:8">
      <c r="A833" s="5">
        <v>831</v>
      </c>
      <c r="B833" s="5" t="str">
        <f>"223220191123122144210249"</f>
        <v>223220191123122144210249</v>
      </c>
      <c r="C833" s="5" t="s">
        <v>39</v>
      </c>
      <c r="D833" s="5" t="s">
        <v>40</v>
      </c>
      <c r="E833" s="5" t="str">
        <f>"王所科"</f>
        <v>王所科</v>
      </c>
      <c r="F833" s="5" t="str">
        <f t="shared" si="236"/>
        <v>男</v>
      </c>
      <c r="G833" s="5" t="str">
        <f>"1985-06-07"</f>
        <v>1985-06-07</v>
      </c>
      <c r="H833" s="5" t="str">
        <f>"萍乡高等专科学校"</f>
        <v>萍乡高等专科学校</v>
      </c>
    </row>
    <row r="834" s="2" customFormat="1" ht="20" customHeight="1" spans="1:8">
      <c r="A834" s="5">
        <v>832</v>
      </c>
      <c r="B834" s="5" t="str">
        <f>"223220191123125716210289"</f>
        <v>223220191123125716210289</v>
      </c>
      <c r="C834" s="5" t="s">
        <v>39</v>
      </c>
      <c r="D834" s="5" t="s">
        <v>40</v>
      </c>
      <c r="E834" s="5" t="str">
        <f>"唐进妹"</f>
        <v>唐进妹</v>
      </c>
      <c r="F834" s="5" t="str">
        <f>"女"</f>
        <v>女</v>
      </c>
      <c r="G834" s="5" t="str">
        <f>"1986-11-27"</f>
        <v>1986-11-27</v>
      </c>
      <c r="H834" s="5" t="str">
        <f>"琼州大学"</f>
        <v>琼州大学</v>
      </c>
    </row>
    <row r="835" s="2" customFormat="1" ht="20" customHeight="1" spans="1:8">
      <c r="A835" s="5">
        <v>833</v>
      </c>
      <c r="B835" s="5" t="str">
        <f>"223220191123130147210294"</f>
        <v>223220191123130147210294</v>
      </c>
      <c r="C835" s="5" t="s">
        <v>39</v>
      </c>
      <c r="D835" s="5" t="s">
        <v>40</v>
      </c>
      <c r="E835" s="5" t="str">
        <f>"麦向文"</f>
        <v>麦向文</v>
      </c>
      <c r="F835" s="5" t="str">
        <f t="shared" ref="F835:F837" si="237">"男"</f>
        <v>男</v>
      </c>
      <c r="G835" s="5" t="str">
        <f>"1991-10-03"</f>
        <v>1991-10-03</v>
      </c>
      <c r="H835" s="5" t="str">
        <f>"吉林司法警官职业学院"</f>
        <v>吉林司法警官职业学院</v>
      </c>
    </row>
    <row r="836" s="2" customFormat="1" ht="20" customHeight="1" spans="1:8">
      <c r="A836" s="5">
        <v>834</v>
      </c>
      <c r="B836" s="5" t="str">
        <f>"223220191123130222210295"</f>
        <v>223220191123130222210295</v>
      </c>
      <c r="C836" s="5" t="s">
        <v>39</v>
      </c>
      <c r="D836" s="5" t="s">
        <v>40</v>
      </c>
      <c r="E836" s="5" t="str">
        <f>"吴彪"</f>
        <v>吴彪</v>
      </c>
      <c r="F836" s="5" t="str">
        <f t="shared" si="237"/>
        <v>男</v>
      </c>
      <c r="G836" s="5" t="str">
        <f>"1994-10-09"</f>
        <v>1994-10-09</v>
      </c>
      <c r="H836" s="5" t="str">
        <f>"海南工商职业学院"</f>
        <v>海南工商职业学院</v>
      </c>
    </row>
    <row r="837" s="2" customFormat="1" ht="20" customHeight="1" spans="1:8">
      <c r="A837" s="5">
        <v>835</v>
      </c>
      <c r="B837" s="5" t="str">
        <f>"223220191123155716210419"</f>
        <v>223220191123155716210419</v>
      </c>
      <c r="C837" s="5" t="s">
        <v>39</v>
      </c>
      <c r="D837" s="5" t="s">
        <v>40</v>
      </c>
      <c r="E837" s="5" t="str">
        <f>"陈勇"</f>
        <v>陈勇</v>
      </c>
      <c r="F837" s="5" t="str">
        <f t="shared" si="237"/>
        <v>男</v>
      </c>
      <c r="G837" s="5" t="str">
        <f>"1996-02-18"</f>
        <v>1996-02-18</v>
      </c>
      <c r="H837" s="5" t="str">
        <f>"泉州华光职业学院"</f>
        <v>泉州华光职业学院</v>
      </c>
    </row>
    <row r="838" s="2" customFormat="1" ht="20" customHeight="1" spans="1:8">
      <c r="A838" s="5">
        <v>836</v>
      </c>
      <c r="B838" s="5" t="str">
        <f>"223220191123173240210489"</f>
        <v>223220191123173240210489</v>
      </c>
      <c r="C838" s="5" t="s">
        <v>39</v>
      </c>
      <c r="D838" s="5" t="s">
        <v>40</v>
      </c>
      <c r="E838" s="5" t="str">
        <f>"谢淑兰"</f>
        <v>谢淑兰</v>
      </c>
      <c r="F838" s="5" t="str">
        <f>"女"</f>
        <v>女</v>
      </c>
      <c r="G838" s="5" t="str">
        <f>"1991-11-03"</f>
        <v>1991-11-03</v>
      </c>
      <c r="H838" s="5" t="str">
        <f>"海南医学院"</f>
        <v>海南医学院</v>
      </c>
    </row>
    <row r="839" s="2" customFormat="1" ht="20" customHeight="1" spans="1:8">
      <c r="A839" s="5">
        <v>837</v>
      </c>
      <c r="B839" s="5" t="str">
        <f>"223220191123181321210519"</f>
        <v>223220191123181321210519</v>
      </c>
      <c r="C839" s="5" t="s">
        <v>39</v>
      </c>
      <c r="D839" s="5" t="s">
        <v>40</v>
      </c>
      <c r="E839" s="5" t="str">
        <f>"薛行彦"</f>
        <v>薛行彦</v>
      </c>
      <c r="F839" s="5" t="str">
        <f t="shared" ref="F839:F843" si="238">"男"</f>
        <v>男</v>
      </c>
      <c r="G839" s="5" t="str">
        <f>"1988-08-16"</f>
        <v>1988-08-16</v>
      </c>
      <c r="H839" s="5" t="str">
        <f>"湖南邵阳学院"</f>
        <v>湖南邵阳学院</v>
      </c>
    </row>
    <row r="840" s="2" customFormat="1" ht="20" customHeight="1" spans="1:8">
      <c r="A840" s="5">
        <v>838</v>
      </c>
      <c r="B840" s="5" t="str">
        <f>"223220191123183538210538"</f>
        <v>223220191123183538210538</v>
      </c>
      <c r="C840" s="5" t="s">
        <v>39</v>
      </c>
      <c r="D840" s="5" t="s">
        <v>40</v>
      </c>
      <c r="E840" s="5" t="str">
        <f>"张义梅"</f>
        <v>张义梅</v>
      </c>
      <c r="F840" s="5" t="str">
        <f>"女"</f>
        <v>女</v>
      </c>
      <c r="G840" s="5" t="str">
        <f>"1994-01-05"</f>
        <v>1994-01-05</v>
      </c>
      <c r="H840" s="5" t="str">
        <f>"杭州师范大学"</f>
        <v>杭州师范大学</v>
      </c>
    </row>
    <row r="841" s="2" customFormat="1" ht="20" customHeight="1" spans="1:8">
      <c r="A841" s="5">
        <v>839</v>
      </c>
      <c r="B841" s="5" t="str">
        <f>"223220191123191203210565"</f>
        <v>223220191123191203210565</v>
      </c>
      <c r="C841" s="5" t="s">
        <v>39</v>
      </c>
      <c r="D841" s="5" t="s">
        <v>40</v>
      </c>
      <c r="E841" s="5" t="str">
        <f>"李达波"</f>
        <v>李达波</v>
      </c>
      <c r="F841" s="5" t="str">
        <f t="shared" ref="F841:F843" si="239">"男"</f>
        <v>男</v>
      </c>
      <c r="G841" s="5" t="str">
        <f>"1993-11-12"</f>
        <v>1993-11-12</v>
      </c>
      <c r="H841" s="5" t="str">
        <f>"海南经贸职业技术学院"</f>
        <v>海南经贸职业技术学院</v>
      </c>
    </row>
    <row r="842" s="2" customFormat="1" ht="20" customHeight="1" spans="1:8">
      <c r="A842" s="5">
        <v>840</v>
      </c>
      <c r="B842" s="5" t="str">
        <f>"223220191123195137210594"</f>
        <v>223220191123195137210594</v>
      </c>
      <c r="C842" s="5" t="s">
        <v>39</v>
      </c>
      <c r="D842" s="5" t="s">
        <v>40</v>
      </c>
      <c r="E842" s="5" t="str">
        <f>"羊学光"</f>
        <v>羊学光</v>
      </c>
      <c r="F842" s="5" t="str">
        <f t="shared" si="239"/>
        <v>男</v>
      </c>
      <c r="G842" s="5" t="str">
        <f>"1994-04-20"</f>
        <v>1994-04-20</v>
      </c>
      <c r="H842" s="5" t="str">
        <f>"大连海洋大学"</f>
        <v>大连海洋大学</v>
      </c>
    </row>
    <row r="843" s="2" customFormat="1" ht="20" customHeight="1" spans="1:8">
      <c r="A843" s="5">
        <v>841</v>
      </c>
      <c r="B843" s="5" t="str">
        <f>"223220191123200215210602"</f>
        <v>223220191123200215210602</v>
      </c>
      <c r="C843" s="5" t="s">
        <v>39</v>
      </c>
      <c r="D843" s="5" t="s">
        <v>40</v>
      </c>
      <c r="E843" s="5" t="str">
        <f>"张蕴山"</f>
        <v>张蕴山</v>
      </c>
      <c r="F843" s="5" t="str">
        <f t="shared" si="239"/>
        <v>男</v>
      </c>
      <c r="G843" s="5" t="str">
        <f>"1995-06-08"</f>
        <v>1995-06-08</v>
      </c>
      <c r="H843" s="5" t="str">
        <f>"重庆大学"</f>
        <v>重庆大学</v>
      </c>
    </row>
    <row r="844" s="2" customFormat="1" ht="20" customHeight="1" spans="1:8">
      <c r="A844" s="5">
        <v>842</v>
      </c>
      <c r="B844" s="5" t="str">
        <f>"223220191123201228210615"</f>
        <v>223220191123201228210615</v>
      </c>
      <c r="C844" s="5" t="s">
        <v>39</v>
      </c>
      <c r="D844" s="5" t="s">
        <v>40</v>
      </c>
      <c r="E844" s="5" t="str">
        <f>"王月兰"</f>
        <v>王月兰</v>
      </c>
      <c r="F844" s="5" t="str">
        <f t="shared" ref="F844:F848" si="240">"女"</f>
        <v>女</v>
      </c>
      <c r="G844" s="5" t="str">
        <f>"1996-08-29"</f>
        <v>1996-08-29</v>
      </c>
      <c r="H844" s="5" t="str">
        <f>"海南软件职业技术学院"</f>
        <v>海南软件职业技术学院</v>
      </c>
    </row>
    <row r="845" s="2" customFormat="1" ht="20" customHeight="1" spans="1:8">
      <c r="A845" s="5">
        <v>843</v>
      </c>
      <c r="B845" s="5" t="str">
        <f>"223220191123204527210642"</f>
        <v>223220191123204527210642</v>
      </c>
      <c r="C845" s="5" t="s">
        <v>39</v>
      </c>
      <c r="D845" s="5" t="s">
        <v>40</v>
      </c>
      <c r="E845" s="5" t="str">
        <f>"吴国豪"</f>
        <v>吴国豪</v>
      </c>
      <c r="F845" s="5" t="str">
        <f>"男"</f>
        <v>男</v>
      </c>
      <c r="G845" s="5" t="str">
        <f>"1989-08-11"</f>
        <v>1989-08-11</v>
      </c>
      <c r="H845" s="5" t="str">
        <f>"湖南工学院"</f>
        <v>湖南工学院</v>
      </c>
    </row>
    <row r="846" s="2" customFormat="1" ht="20" customHeight="1" spans="1:8">
      <c r="A846" s="5">
        <v>844</v>
      </c>
      <c r="B846" s="5" t="str">
        <f>"223220191123211839210663"</f>
        <v>223220191123211839210663</v>
      </c>
      <c r="C846" s="5" t="s">
        <v>39</v>
      </c>
      <c r="D846" s="5" t="s">
        <v>40</v>
      </c>
      <c r="E846" s="5" t="str">
        <f>"王梅妹"</f>
        <v>王梅妹</v>
      </c>
      <c r="F846" s="5" t="str">
        <f t="shared" ref="F846:F848" si="241">"女"</f>
        <v>女</v>
      </c>
      <c r="G846" s="5" t="str">
        <f>"1986-08-11"</f>
        <v>1986-08-11</v>
      </c>
      <c r="H846" s="5" t="str">
        <f>"海南省琼台师范学院"</f>
        <v>海南省琼台师范学院</v>
      </c>
    </row>
    <row r="847" s="2" customFormat="1" ht="20" customHeight="1" spans="1:8">
      <c r="A847" s="5">
        <v>845</v>
      </c>
      <c r="B847" s="5" t="str">
        <f>"223220191123224634210714"</f>
        <v>223220191123224634210714</v>
      </c>
      <c r="C847" s="5" t="s">
        <v>39</v>
      </c>
      <c r="D847" s="5" t="s">
        <v>40</v>
      </c>
      <c r="E847" s="5" t="str">
        <f>"薛秋花"</f>
        <v>薛秋花</v>
      </c>
      <c r="F847" s="5" t="str">
        <f t="shared" si="241"/>
        <v>女</v>
      </c>
      <c r="G847" s="5" t="str">
        <f>"1996-10-19"</f>
        <v>1996-10-19</v>
      </c>
      <c r="H847" s="5" t="str">
        <f>"太原师范学院"</f>
        <v>太原师范学院</v>
      </c>
    </row>
    <row r="848" s="2" customFormat="1" ht="20" customHeight="1" spans="1:8">
      <c r="A848" s="5">
        <v>846</v>
      </c>
      <c r="B848" s="5" t="str">
        <f>"223220191123231218210729"</f>
        <v>223220191123231218210729</v>
      </c>
      <c r="C848" s="5" t="s">
        <v>39</v>
      </c>
      <c r="D848" s="5" t="s">
        <v>40</v>
      </c>
      <c r="E848" s="5" t="str">
        <f>"蒲国珍"</f>
        <v>蒲国珍</v>
      </c>
      <c r="F848" s="5" t="str">
        <f t="shared" si="241"/>
        <v>女</v>
      </c>
      <c r="G848" s="5" t="str">
        <f>"1994-06-15"</f>
        <v>1994-06-15</v>
      </c>
      <c r="H848" s="5" t="str">
        <f>"云南大学滇池学院"</f>
        <v>云南大学滇池学院</v>
      </c>
    </row>
    <row r="849" s="2" customFormat="1" ht="20" customHeight="1" spans="1:8">
      <c r="A849" s="5">
        <v>847</v>
      </c>
      <c r="B849" s="5" t="str">
        <f>"223220191124075539210765"</f>
        <v>223220191124075539210765</v>
      </c>
      <c r="C849" s="5" t="s">
        <v>39</v>
      </c>
      <c r="D849" s="5" t="s">
        <v>40</v>
      </c>
      <c r="E849" s="5" t="str">
        <f>"李如锦"</f>
        <v>李如锦</v>
      </c>
      <c r="F849" s="5" t="str">
        <f t="shared" ref="F849:F856" si="242">"男"</f>
        <v>男</v>
      </c>
      <c r="G849" s="5" t="str">
        <f>"1988-12-22"</f>
        <v>1988-12-22</v>
      </c>
      <c r="H849" s="5" t="str">
        <f>"柳州职业技术学院"</f>
        <v>柳州职业技术学院</v>
      </c>
    </row>
    <row r="850" s="2" customFormat="1" ht="20" customHeight="1" spans="1:8">
      <c r="A850" s="5">
        <v>848</v>
      </c>
      <c r="B850" s="5" t="str">
        <f>"223220191124084929210780"</f>
        <v>223220191124084929210780</v>
      </c>
      <c r="C850" s="5" t="s">
        <v>39</v>
      </c>
      <c r="D850" s="5" t="s">
        <v>40</v>
      </c>
      <c r="E850" s="5" t="str">
        <f>"梁知禹"</f>
        <v>梁知禹</v>
      </c>
      <c r="F850" s="5" t="str">
        <f t="shared" si="242"/>
        <v>男</v>
      </c>
      <c r="G850" s="5" t="str">
        <f>"1992-03-05"</f>
        <v>1992-03-05</v>
      </c>
      <c r="H850" s="5" t="str">
        <f>"广州大学松田学院"</f>
        <v>广州大学松田学院</v>
      </c>
    </row>
    <row r="851" s="2" customFormat="1" ht="20" customHeight="1" spans="1:8">
      <c r="A851" s="5">
        <v>849</v>
      </c>
      <c r="B851" s="5" t="str">
        <f>"223220191124090707210785"</f>
        <v>223220191124090707210785</v>
      </c>
      <c r="C851" s="5" t="s">
        <v>39</v>
      </c>
      <c r="D851" s="5" t="s">
        <v>40</v>
      </c>
      <c r="E851" s="5" t="str">
        <f>"黄一剑"</f>
        <v>黄一剑</v>
      </c>
      <c r="F851" s="5" t="str">
        <f t="shared" si="242"/>
        <v>男</v>
      </c>
      <c r="G851" s="5" t="str">
        <f>"1995-12-08"</f>
        <v>1995-12-08</v>
      </c>
      <c r="H851" s="5" t="str">
        <f>"三亚学院"</f>
        <v>三亚学院</v>
      </c>
    </row>
    <row r="852" s="2" customFormat="1" ht="20" customHeight="1" spans="1:8">
      <c r="A852" s="5">
        <v>850</v>
      </c>
      <c r="B852" s="5" t="str">
        <f>"223220191124094327210808"</f>
        <v>223220191124094327210808</v>
      </c>
      <c r="C852" s="5" t="s">
        <v>39</v>
      </c>
      <c r="D852" s="5" t="s">
        <v>40</v>
      </c>
      <c r="E852" s="5" t="str">
        <f>"王永精"</f>
        <v>王永精</v>
      </c>
      <c r="F852" s="5" t="str">
        <f t="shared" si="242"/>
        <v>男</v>
      </c>
      <c r="G852" s="5" t="str">
        <f>"1993-07-10"</f>
        <v>1993-07-10</v>
      </c>
      <c r="H852" s="5" t="str">
        <f>"福建船政交通职业学院"</f>
        <v>福建船政交通职业学院</v>
      </c>
    </row>
    <row r="853" s="2" customFormat="1" ht="20" customHeight="1" spans="1:8">
      <c r="A853" s="5">
        <v>851</v>
      </c>
      <c r="B853" s="5" t="str">
        <f>"223220191124094947210810"</f>
        <v>223220191124094947210810</v>
      </c>
      <c r="C853" s="5" t="s">
        <v>39</v>
      </c>
      <c r="D853" s="5" t="s">
        <v>40</v>
      </c>
      <c r="E853" s="5" t="str">
        <f>"陈开恒"</f>
        <v>陈开恒</v>
      </c>
      <c r="F853" s="5" t="str">
        <f t="shared" si="242"/>
        <v>男</v>
      </c>
      <c r="G853" s="5" t="str">
        <f>"1992-02-06"</f>
        <v>1992-02-06</v>
      </c>
      <c r="H853" s="5" t="str">
        <f>"天津轻工职业技术学院"</f>
        <v>天津轻工职业技术学院</v>
      </c>
    </row>
    <row r="854" s="2" customFormat="1" ht="20" customHeight="1" spans="1:8">
      <c r="A854" s="5">
        <v>852</v>
      </c>
      <c r="B854" s="5" t="str">
        <f>"223220191124103832210847"</f>
        <v>223220191124103832210847</v>
      </c>
      <c r="C854" s="5" t="s">
        <v>39</v>
      </c>
      <c r="D854" s="5" t="s">
        <v>40</v>
      </c>
      <c r="E854" s="5" t="str">
        <f>"陈斌"</f>
        <v>陈斌</v>
      </c>
      <c r="F854" s="5" t="str">
        <f t="shared" si="242"/>
        <v>男</v>
      </c>
      <c r="G854" s="5" t="str">
        <f>"1990-08-17"</f>
        <v>1990-08-17</v>
      </c>
      <c r="H854" s="5" t="str">
        <f>"江西渝州科技职业学院"</f>
        <v>江西渝州科技职业学院</v>
      </c>
    </row>
    <row r="855" s="2" customFormat="1" ht="20" customHeight="1" spans="1:8">
      <c r="A855" s="5">
        <v>853</v>
      </c>
      <c r="B855" s="5" t="str">
        <f>"223220191124104606210856"</f>
        <v>223220191124104606210856</v>
      </c>
      <c r="C855" s="5" t="s">
        <v>39</v>
      </c>
      <c r="D855" s="5" t="s">
        <v>40</v>
      </c>
      <c r="E855" s="5" t="str">
        <f>"王承榜"</f>
        <v>王承榜</v>
      </c>
      <c r="F855" s="5" t="str">
        <f t="shared" si="242"/>
        <v>男</v>
      </c>
      <c r="G855" s="5" t="str">
        <f>"1994-08-11"</f>
        <v>1994-08-11</v>
      </c>
      <c r="H855" s="5" t="str">
        <f>"福州职业技术学院"</f>
        <v>福州职业技术学院</v>
      </c>
    </row>
    <row r="856" s="2" customFormat="1" ht="20" customHeight="1" spans="1:8">
      <c r="A856" s="5">
        <v>854</v>
      </c>
      <c r="B856" s="5" t="str">
        <f>"223220191124105006210859"</f>
        <v>223220191124105006210859</v>
      </c>
      <c r="C856" s="5" t="s">
        <v>39</v>
      </c>
      <c r="D856" s="5" t="s">
        <v>40</v>
      </c>
      <c r="E856" s="5" t="str">
        <f>"李玉琼"</f>
        <v>李玉琼</v>
      </c>
      <c r="F856" s="5" t="str">
        <f t="shared" si="242"/>
        <v>男</v>
      </c>
      <c r="G856" s="5" t="str">
        <f>"1998-08-16"</f>
        <v>1998-08-16</v>
      </c>
      <c r="H856" s="5" t="str">
        <f>"海南省职业技术学院"</f>
        <v>海南省职业技术学院</v>
      </c>
    </row>
    <row r="857" s="2" customFormat="1" ht="20" customHeight="1" spans="1:8">
      <c r="A857" s="5">
        <v>855</v>
      </c>
      <c r="B857" s="5" t="str">
        <f>"223220191124111252210888"</f>
        <v>223220191124111252210888</v>
      </c>
      <c r="C857" s="5" t="s">
        <v>39</v>
      </c>
      <c r="D857" s="5" t="s">
        <v>40</v>
      </c>
      <c r="E857" s="5" t="str">
        <f>"谢恒香"</f>
        <v>谢恒香</v>
      </c>
      <c r="F857" s="5" t="str">
        <f>"女"</f>
        <v>女</v>
      </c>
      <c r="G857" s="5" t="str">
        <f>"1997-08-28"</f>
        <v>1997-08-28</v>
      </c>
      <c r="H857" s="5" t="str">
        <f>"海南政法职业学院"</f>
        <v>海南政法职业学院</v>
      </c>
    </row>
    <row r="858" s="2" customFormat="1" ht="20" customHeight="1" spans="1:8">
      <c r="A858" s="5">
        <v>856</v>
      </c>
      <c r="B858" s="5" t="str">
        <f>"223220191124115916210940"</f>
        <v>223220191124115916210940</v>
      </c>
      <c r="C858" s="5" t="s">
        <v>39</v>
      </c>
      <c r="D858" s="5" t="s">
        <v>40</v>
      </c>
      <c r="E858" s="5" t="str">
        <f>"朱世伟"</f>
        <v>朱世伟</v>
      </c>
      <c r="F858" s="5" t="str">
        <f t="shared" ref="F858:F862" si="243">"男"</f>
        <v>男</v>
      </c>
      <c r="G858" s="5" t="str">
        <f>"1994-02-10"</f>
        <v>1994-02-10</v>
      </c>
      <c r="H858" s="5" t="str">
        <f>"贵州大学"</f>
        <v>贵州大学</v>
      </c>
    </row>
    <row r="859" s="2" customFormat="1" ht="20" customHeight="1" spans="1:8">
      <c r="A859" s="5">
        <v>857</v>
      </c>
      <c r="B859" s="5" t="str">
        <f>"223220191124121146210956"</f>
        <v>223220191124121146210956</v>
      </c>
      <c r="C859" s="5" t="s">
        <v>39</v>
      </c>
      <c r="D859" s="5" t="s">
        <v>40</v>
      </c>
      <c r="E859" s="5" t="str">
        <f>"何翔"</f>
        <v>何翔</v>
      </c>
      <c r="F859" s="5" t="str">
        <f t="shared" si="243"/>
        <v>男</v>
      </c>
      <c r="G859" s="5" t="str">
        <f>"1994-04-30"</f>
        <v>1994-04-30</v>
      </c>
      <c r="H859" s="5" t="str">
        <f>"昆明理工大学津桥学院"</f>
        <v>昆明理工大学津桥学院</v>
      </c>
    </row>
    <row r="860" s="2" customFormat="1" ht="20" customHeight="1" spans="1:8">
      <c r="A860" s="5">
        <v>858</v>
      </c>
      <c r="B860" s="5" t="str">
        <f>"223220191124123757210981"</f>
        <v>223220191124123757210981</v>
      </c>
      <c r="C860" s="5" t="s">
        <v>39</v>
      </c>
      <c r="D860" s="5" t="s">
        <v>40</v>
      </c>
      <c r="E860" s="5" t="str">
        <f>"牛冠鹏"</f>
        <v>牛冠鹏</v>
      </c>
      <c r="F860" s="5" t="str">
        <f t="shared" si="243"/>
        <v>男</v>
      </c>
      <c r="G860" s="5" t="str">
        <f>"1991-07-16"</f>
        <v>1991-07-16</v>
      </c>
      <c r="H860" s="5" t="str">
        <f>"武汉东湖学院"</f>
        <v>武汉东湖学院</v>
      </c>
    </row>
    <row r="861" s="2" customFormat="1" ht="20" customHeight="1" spans="1:8">
      <c r="A861" s="5">
        <v>859</v>
      </c>
      <c r="B861" s="5" t="str">
        <f>"223220191124125257210991"</f>
        <v>223220191124125257210991</v>
      </c>
      <c r="C861" s="5" t="s">
        <v>39</v>
      </c>
      <c r="D861" s="5" t="s">
        <v>40</v>
      </c>
      <c r="E861" s="5" t="str">
        <f>"李仲品"</f>
        <v>李仲品</v>
      </c>
      <c r="F861" s="5" t="str">
        <f t="shared" si="243"/>
        <v>男</v>
      </c>
      <c r="G861" s="5" t="str">
        <f>"1992-06-05"</f>
        <v>1992-06-05</v>
      </c>
      <c r="H861" s="5" t="str">
        <f>"泉州信息工程学院"</f>
        <v>泉州信息工程学院</v>
      </c>
    </row>
    <row r="862" s="2" customFormat="1" ht="20" customHeight="1" spans="1:8">
      <c r="A862" s="5">
        <v>860</v>
      </c>
      <c r="B862" s="5" t="str">
        <f>"223220191124143134211072"</f>
        <v>223220191124143134211072</v>
      </c>
      <c r="C862" s="5" t="s">
        <v>39</v>
      </c>
      <c r="D862" s="5" t="s">
        <v>40</v>
      </c>
      <c r="E862" s="5" t="str">
        <f>"吴金浩"</f>
        <v>吴金浩</v>
      </c>
      <c r="F862" s="5" t="str">
        <f t="shared" si="243"/>
        <v>男</v>
      </c>
      <c r="G862" s="5" t="str">
        <f>"1997-05-12"</f>
        <v>1997-05-12</v>
      </c>
      <c r="H862" s="5" t="str">
        <f>"广西理工职业技术学院"</f>
        <v>广西理工职业技术学院</v>
      </c>
    </row>
    <row r="863" s="2" customFormat="1" ht="20" customHeight="1" spans="1:8">
      <c r="A863" s="5">
        <v>861</v>
      </c>
      <c r="B863" s="5" t="str">
        <f>"223220191124164504211162"</f>
        <v>223220191124164504211162</v>
      </c>
      <c r="C863" s="5" t="s">
        <v>39</v>
      </c>
      <c r="D863" s="5" t="s">
        <v>40</v>
      </c>
      <c r="E863" s="5" t="str">
        <f>"陈秋凤"</f>
        <v>陈秋凤</v>
      </c>
      <c r="F863" s="5" t="str">
        <f t="shared" ref="F863:F868" si="244">"女"</f>
        <v>女</v>
      </c>
      <c r="G863" s="5" t="str">
        <f>"1991-07-02"</f>
        <v>1991-07-02</v>
      </c>
      <c r="H863" s="5" t="str">
        <f>"忻州师范学院"</f>
        <v>忻州师范学院</v>
      </c>
    </row>
    <row r="864" s="2" customFormat="1" ht="20" customHeight="1" spans="1:8">
      <c r="A864" s="5">
        <v>862</v>
      </c>
      <c r="B864" s="5" t="str">
        <f>"223220191124175435211204"</f>
        <v>223220191124175435211204</v>
      </c>
      <c r="C864" s="5" t="s">
        <v>39</v>
      </c>
      <c r="D864" s="5" t="s">
        <v>40</v>
      </c>
      <c r="E864" s="5" t="str">
        <f>"羊金多"</f>
        <v>羊金多</v>
      </c>
      <c r="F864" s="5" t="str">
        <f t="shared" ref="F864:F867" si="245">"男"</f>
        <v>男</v>
      </c>
      <c r="G864" s="5" t="str">
        <f>"1991-06-21"</f>
        <v>1991-06-21</v>
      </c>
      <c r="H864" s="5" t="str">
        <f>"西安外国语大学"</f>
        <v>西安外国语大学</v>
      </c>
    </row>
    <row r="865" s="2" customFormat="1" ht="20" customHeight="1" spans="1:8">
      <c r="A865" s="5">
        <v>863</v>
      </c>
      <c r="B865" s="5" t="str">
        <f>"223220191124202936211331"</f>
        <v>223220191124202936211331</v>
      </c>
      <c r="C865" s="5" t="s">
        <v>39</v>
      </c>
      <c r="D865" s="5" t="s">
        <v>40</v>
      </c>
      <c r="E865" s="5" t="str">
        <f>"何应焕"</f>
        <v>何应焕</v>
      </c>
      <c r="F865" s="5" t="str">
        <f>"女"</f>
        <v>女</v>
      </c>
      <c r="G865" s="5" t="str">
        <f>"1991-12-18"</f>
        <v>1991-12-18</v>
      </c>
      <c r="H865" s="5" t="str">
        <f>"烟台大学"</f>
        <v>烟台大学</v>
      </c>
    </row>
    <row r="866" s="2" customFormat="1" ht="20" customHeight="1" spans="1:8">
      <c r="A866" s="5">
        <v>864</v>
      </c>
      <c r="B866" s="5" t="str">
        <f>"223220191124205720211361"</f>
        <v>223220191124205720211361</v>
      </c>
      <c r="C866" s="5" t="s">
        <v>39</v>
      </c>
      <c r="D866" s="5" t="s">
        <v>40</v>
      </c>
      <c r="E866" s="5" t="str">
        <f>"杨尚彬"</f>
        <v>杨尚彬</v>
      </c>
      <c r="F866" s="5" t="str">
        <f>"男"</f>
        <v>男</v>
      </c>
      <c r="G866" s="5" t="str">
        <f>"1996-06-18"</f>
        <v>1996-06-18</v>
      </c>
      <c r="H866" s="5" t="str">
        <f>"海南工商职业学院"</f>
        <v>海南工商职业学院</v>
      </c>
    </row>
    <row r="867" s="2" customFormat="1" ht="20" customHeight="1" spans="1:8">
      <c r="A867" s="5">
        <v>865</v>
      </c>
      <c r="B867" s="5" t="str">
        <f>"223220191124211945211388"</f>
        <v>223220191124211945211388</v>
      </c>
      <c r="C867" s="5" t="s">
        <v>39</v>
      </c>
      <c r="D867" s="5" t="s">
        <v>40</v>
      </c>
      <c r="E867" s="5" t="str">
        <f>"彭仁和"</f>
        <v>彭仁和</v>
      </c>
      <c r="F867" s="5" t="str">
        <f>"男"</f>
        <v>男</v>
      </c>
      <c r="G867" s="5" t="str">
        <f>"1992-10-29"</f>
        <v>1992-10-29</v>
      </c>
      <c r="H867" s="5" t="str">
        <f>"海南职业技术学院"</f>
        <v>海南职业技术学院</v>
      </c>
    </row>
    <row r="868" s="2" customFormat="1" ht="20" customHeight="1" spans="1:8">
      <c r="A868" s="5">
        <v>866</v>
      </c>
      <c r="B868" s="5" t="str">
        <f>"223220191124213023211398"</f>
        <v>223220191124213023211398</v>
      </c>
      <c r="C868" s="5" t="s">
        <v>39</v>
      </c>
      <c r="D868" s="5" t="s">
        <v>40</v>
      </c>
      <c r="E868" s="5" t="str">
        <f>"陈文丽"</f>
        <v>陈文丽</v>
      </c>
      <c r="F868" s="5" t="str">
        <f>"女"</f>
        <v>女</v>
      </c>
      <c r="G868" s="5" t="str">
        <f>"1991-01-08"</f>
        <v>1991-01-08</v>
      </c>
      <c r="H868" s="5" t="str">
        <f>"海口经济学院"</f>
        <v>海口经济学院</v>
      </c>
    </row>
    <row r="869" s="2" customFormat="1" ht="20" customHeight="1" spans="1:8">
      <c r="A869" s="5">
        <v>867</v>
      </c>
      <c r="B869" s="5" t="str">
        <f>"223220191124224719211453"</f>
        <v>223220191124224719211453</v>
      </c>
      <c r="C869" s="5" t="s">
        <v>39</v>
      </c>
      <c r="D869" s="5" t="s">
        <v>40</v>
      </c>
      <c r="E869" s="5" t="str">
        <f>"羊裕成"</f>
        <v>羊裕成</v>
      </c>
      <c r="F869" s="5" t="str">
        <f t="shared" ref="F869:F871" si="246">"男"</f>
        <v>男</v>
      </c>
      <c r="G869" s="5" t="str">
        <f>"1991-08-06"</f>
        <v>1991-08-06</v>
      </c>
      <c r="H869" s="5" t="str">
        <f>"海南工商职业学院"</f>
        <v>海南工商职业学院</v>
      </c>
    </row>
    <row r="870" s="2" customFormat="1" ht="20" customHeight="1" spans="1:8">
      <c r="A870" s="5">
        <v>868</v>
      </c>
      <c r="B870" s="5" t="str">
        <f>"223220191124234929211481"</f>
        <v>223220191124234929211481</v>
      </c>
      <c r="C870" s="5" t="s">
        <v>39</v>
      </c>
      <c r="D870" s="5" t="s">
        <v>40</v>
      </c>
      <c r="E870" s="5" t="str">
        <f>"陈有年"</f>
        <v>陈有年</v>
      </c>
      <c r="F870" s="5" t="str">
        <f t="shared" si="246"/>
        <v>男</v>
      </c>
      <c r="G870" s="5" t="str">
        <f>"1986-03-19"</f>
        <v>1986-03-19</v>
      </c>
      <c r="H870" s="5" t="str">
        <f>"海南师范大学"</f>
        <v>海南师范大学</v>
      </c>
    </row>
    <row r="871" s="2" customFormat="1" ht="20" customHeight="1" spans="1:8">
      <c r="A871" s="5">
        <v>869</v>
      </c>
      <c r="B871" s="5" t="str">
        <f>"223220191125084946211560"</f>
        <v>223220191125084946211560</v>
      </c>
      <c r="C871" s="5" t="s">
        <v>39</v>
      </c>
      <c r="D871" s="5" t="s">
        <v>40</v>
      </c>
      <c r="E871" s="5" t="str">
        <f>"王嘉斗"</f>
        <v>王嘉斗</v>
      </c>
      <c r="F871" s="5" t="str">
        <f t="shared" si="246"/>
        <v>男</v>
      </c>
      <c r="G871" s="5" t="str">
        <f>"1991-11-12"</f>
        <v>1991-11-12</v>
      </c>
      <c r="H871" s="5" t="str">
        <f>"商丘学院"</f>
        <v>商丘学院</v>
      </c>
    </row>
    <row r="872" s="2" customFormat="1" ht="20" customHeight="1" spans="1:8">
      <c r="A872" s="5">
        <v>870</v>
      </c>
      <c r="B872" s="5" t="str">
        <f>"223220191125085025211563"</f>
        <v>223220191125085025211563</v>
      </c>
      <c r="C872" s="5" t="s">
        <v>39</v>
      </c>
      <c r="D872" s="5" t="s">
        <v>40</v>
      </c>
      <c r="E872" s="5" t="str">
        <f>"陈婆梅"</f>
        <v>陈婆梅</v>
      </c>
      <c r="F872" s="5" t="str">
        <f t="shared" ref="F872:F878" si="247">"女"</f>
        <v>女</v>
      </c>
      <c r="G872" s="5" t="str">
        <f>"1990-06-27"</f>
        <v>1990-06-27</v>
      </c>
      <c r="H872" s="5" t="str">
        <f>"河北工程大学"</f>
        <v>河北工程大学</v>
      </c>
    </row>
    <row r="873" s="2" customFormat="1" ht="20" customHeight="1" spans="1:8">
      <c r="A873" s="5">
        <v>871</v>
      </c>
      <c r="B873" s="5" t="str">
        <f>"223220191125085441211571"</f>
        <v>223220191125085441211571</v>
      </c>
      <c r="C873" s="5" t="s">
        <v>39</v>
      </c>
      <c r="D873" s="5" t="s">
        <v>40</v>
      </c>
      <c r="E873" s="5" t="str">
        <f>"羊乃东"</f>
        <v>羊乃东</v>
      </c>
      <c r="F873" s="5" t="str">
        <f t="shared" ref="F873:F876" si="248">"男"</f>
        <v>男</v>
      </c>
      <c r="G873" s="5" t="str">
        <f>"1995-10-01"</f>
        <v>1995-10-01</v>
      </c>
      <c r="H873" s="5" t="str">
        <f>"山东电子职业技术学院"</f>
        <v>山东电子职业技术学院</v>
      </c>
    </row>
    <row r="874" s="2" customFormat="1" ht="20" customHeight="1" spans="1:8">
      <c r="A874" s="5">
        <v>872</v>
      </c>
      <c r="B874" s="5" t="str">
        <f>"223220191125094654211686"</f>
        <v>223220191125094654211686</v>
      </c>
      <c r="C874" s="5" t="s">
        <v>39</v>
      </c>
      <c r="D874" s="5" t="s">
        <v>40</v>
      </c>
      <c r="E874" s="5" t="str">
        <f>"林载花"</f>
        <v>林载花</v>
      </c>
      <c r="F874" s="5" t="str">
        <f t="shared" ref="F874:F878" si="249">"女"</f>
        <v>女</v>
      </c>
      <c r="G874" s="5" t="str">
        <f>"1993-09-16"</f>
        <v>1993-09-16</v>
      </c>
      <c r="H874" s="5" t="str">
        <f>"海口经济学院"</f>
        <v>海口经济学院</v>
      </c>
    </row>
    <row r="875" s="2" customFormat="1" ht="20" customHeight="1" spans="1:8">
      <c r="A875" s="5">
        <v>873</v>
      </c>
      <c r="B875" s="5" t="str">
        <f>"223220191125095730211712"</f>
        <v>223220191125095730211712</v>
      </c>
      <c r="C875" s="5" t="s">
        <v>39</v>
      </c>
      <c r="D875" s="5" t="s">
        <v>40</v>
      </c>
      <c r="E875" s="5" t="str">
        <f>"陈广立"</f>
        <v>陈广立</v>
      </c>
      <c r="F875" s="5" t="str">
        <f>"男"</f>
        <v>男</v>
      </c>
      <c r="G875" s="5" t="str">
        <f>"1990-11-07"</f>
        <v>1990-11-07</v>
      </c>
      <c r="H875" s="5" t="str">
        <f>"海南热带海洋学院"</f>
        <v>海南热带海洋学院</v>
      </c>
    </row>
    <row r="876" s="2" customFormat="1" ht="20" customHeight="1" spans="1:8">
      <c r="A876" s="5">
        <v>874</v>
      </c>
      <c r="B876" s="5" t="str">
        <f>"223220191125110518211845"</f>
        <v>223220191125110518211845</v>
      </c>
      <c r="C876" s="5" t="s">
        <v>39</v>
      </c>
      <c r="D876" s="5" t="s">
        <v>40</v>
      </c>
      <c r="E876" s="5" t="str">
        <f>"陈尔彪"</f>
        <v>陈尔彪</v>
      </c>
      <c r="F876" s="5" t="str">
        <f>"男"</f>
        <v>男</v>
      </c>
      <c r="G876" s="5" t="str">
        <f>"1986-06-07"</f>
        <v>1986-06-07</v>
      </c>
      <c r="H876" s="5" t="str">
        <f>"福建省泉州理工职业学院"</f>
        <v>福建省泉州理工职业学院</v>
      </c>
    </row>
    <row r="877" s="2" customFormat="1" ht="20" customHeight="1" spans="1:8">
      <c r="A877" s="5">
        <v>875</v>
      </c>
      <c r="B877" s="5" t="str">
        <f>"223220191125111312211865"</f>
        <v>223220191125111312211865</v>
      </c>
      <c r="C877" s="5" t="s">
        <v>39</v>
      </c>
      <c r="D877" s="5" t="s">
        <v>40</v>
      </c>
      <c r="E877" s="5" t="str">
        <f>"麦海婷"</f>
        <v>麦海婷</v>
      </c>
      <c r="F877" s="5" t="str">
        <f>"女"</f>
        <v>女</v>
      </c>
      <c r="G877" s="5" t="str">
        <f>"1991-10-10"</f>
        <v>1991-10-10</v>
      </c>
      <c r="H877" s="5" t="str">
        <f>"琼州学院"</f>
        <v>琼州学院</v>
      </c>
    </row>
    <row r="878" s="2" customFormat="1" ht="20" customHeight="1" spans="1:8">
      <c r="A878" s="5">
        <v>876</v>
      </c>
      <c r="B878" s="5" t="str">
        <f>"223220191125112024211877"</f>
        <v>223220191125112024211877</v>
      </c>
      <c r="C878" s="5" t="s">
        <v>39</v>
      </c>
      <c r="D878" s="5" t="s">
        <v>40</v>
      </c>
      <c r="E878" s="5" t="str">
        <f>"郑东妮"</f>
        <v>郑东妮</v>
      </c>
      <c r="F878" s="5" t="str">
        <f>"女"</f>
        <v>女</v>
      </c>
      <c r="G878" s="5" t="str">
        <f>"1995-02-16"</f>
        <v>1995-02-16</v>
      </c>
      <c r="H878" s="5" t="str">
        <f>"河南工业大学"</f>
        <v>河南工业大学</v>
      </c>
    </row>
    <row r="879" s="2" customFormat="1" ht="20" customHeight="1" spans="1:8">
      <c r="A879" s="5">
        <v>877</v>
      </c>
      <c r="B879" s="5" t="str">
        <f>"223220191125112327211884"</f>
        <v>223220191125112327211884</v>
      </c>
      <c r="C879" s="5" t="s">
        <v>39</v>
      </c>
      <c r="D879" s="5" t="s">
        <v>40</v>
      </c>
      <c r="E879" s="5" t="str">
        <f>"董好安"</f>
        <v>董好安</v>
      </c>
      <c r="F879" s="5" t="str">
        <f t="shared" ref="F879:F883" si="250">"男"</f>
        <v>男</v>
      </c>
      <c r="G879" s="5" t="str">
        <f>"1986-07-08"</f>
        <v>1986-07-08</v>
      </c>
      <c r="H879" s="5" t="str">
        <f>"湖南大学"</f>
        <v>湖南大学</v>
      </c>
    </row>
    <row r="880" s="2" customFormat="1" ht="20" customHeight="1" spans="1:8">
      <c r="A880" s="5">
        <v>878</v>
      </c>
      <c r="B880" s="5" t="str">
        <f>"223220191125113029211900"</f>
        <v>223220191125113029211900</v>
      </c>
      <c r="C880" s="5" t="s">
        <v>39</v>
      </c>
      <c r="D880" s="5" t="s">
        <v>40</v>
      </c>
      <c r="E880" s="5" t="str">
        <f>"李露晶"</f>
        <v>李露晶</v>
      </c>
      <c r="F880" s="5" t="str">
        <f t="shared" ref="F880:F884" si="251">"女"</f>
        <v>女</v>
      </c>
      <c r="G880" s="5" t="str">
        <f>"1992-12-08"</f>
        <v>1992-12-08</v>
      </c>
      <c r="H880" s="5" t="str">
        <f>"海口经济学院"</f>
        <v>海口经济学院</v>
      </c>
    </row>
    <row r="881" s="2" customFormat="1" ht="20" customHeight="1" spans="1:8">
      <c r="A881" s="5">
        <v>879</v>
      </c>
      <c r="B881" s="5" t="str">
        <f>"223220191125115129211948"</f>
        <v>223220191125115129211948</v>
      </c>
      <c r="C881" s="5" t="s">
        <v>39</v>
      </c>
      <c r="D881" s="5" t="s">
        <v>40</v>
      </c>
      <c r="E881" s="5" t="str">
        <f>"羊应堂"</f>
        <v>羊应堂</v>
      </c>
      <c r="F881" s="5" t="str">
        <f>"男"</f>
        <v>男</v>
      </c>
      <c r="G881" s="5" t="str">
        <f>"1991-03-02"</f>
        <v>1991-03-02</v>
      </c>
      <c r="H881" s="5" t="str">
        <f>"琼州学院"</f>
        <v>琼州学院</v>
      </c>
    </row>
    <row r="882" s="2" customFormat="1" ht="20" customHeight="1" spans="1:8">
      <c r="A882" s="5">
        <v>880</v>
      </c>
      <c r="B882" s="5" t="str">
        <f>"223220191125120502211976"</f>
        <v>223220191125120502211976</v>
      </c>
      <c r="C882" s="5" t="s">
        <v>39</v>
      </c>
      <c r="D882" s="5" t="s">
        <v>40</v>
      </c>
      <c r="E882" s="5" t="str">
        <f>"薛婆保"</f>
        <v>薛婆保</v>
      </c>
      <c r="F882" s="5" t="str">
        <f t="shared" ref="F882:F886" si="252">"女"</f>
        <v>女</v>
      </c>
      <c r="G882" s="5" t="str">
        <f>"1994-10-21"</f>
        <v>1994-10-21</v>
      </c>
      <c r="H882" s="5" t="str">
        <f>"忻州师范学院"</f>
        <v>忻州师范学院</v>
      </c>
    </row>
    <row r="883" s="2" customFormat="1" ht="20" customHeight="1" spans="1:8">
      <c r="A883" s="5">
        <v>881</v>
      </c>
      <c r="B883" s="5" t="str">
        <f>"223220191125141429212087"</f>
        <v>223220191125141429212087</v>
      </c>
      <c r="C883" s="5" t="s">
        <v>39</v>
      </c>
      <c r="D883" s="5" t="s">
        <v>40</v>
      </c>
      <c r="E883" s="5" t="str">
        <f>"黎贵坦"</f>
        <v>黎贵坦</v>
      </c>
      <c r="F883" s="5" t="str">
        <f t="shared" ref="F883:F888" si="253">"男"</f>
        <v>男</v>
      </c>
      <c r="G883" s="5" t="str">
        <f>"1988-03-30"</f>
        <v>1988-03-30</v>
      </c>
      <c r="H883" s="5" t="str">
        <f>"南京航空航天大学金城学院"</f>
        <v>南京航空航天大学金城学院</v>
      </c>
    </row>
    <row r="884" s="2" customFormat="1" ht="20" customHeight="1" spans="1:8">
      <c r="A884" s="5">
        <v>882</v>
      </c>
      <c r="B884" s="5" t="str">
        <f>"223220191125142031212093"</f>
        <v>223220191125142031212093</v>
      </c>
      <c r="C884" s="5" t="s">
        <v>39</v>
      </c>
      <c r="D884" s="5" t="s">
        <v>40</v>
      </c>
      <c r="E884" s="5" t="str">
        <f>"陈玉秀"</f>
        <v>陈玉秀</v>
      </c>
      <c r="F884" s="5" t="str">
        <f>"女"</f>
        <v>女</v>
      </c>
      <c r="G884" s="5" t="str">
        <f>"1988-05-25"</f>
        <v>1988-05-25</v>
      </c>
      <c r="H884" s="5" t="str">
        <f>"海南软件职业技术学院"</f>
        <v>海南软件职业技术学院</v>
      </c>
    </row>
    <row r="885" s="2" customFormat="1" ht="20" customHeight="1" spans="1:8">
      <c r="A885" s="5">
        <v>883</v>
      </c>
      <c r="B885" s="5" t="str">
        <f>"223220191125144515212120"</f>
        <v>223220191125144515212120</v>
      </c>
      <c r="C885" s="5" t="s">
        <v>39</v>
      </c>
      <c r="D885" s="5" t="s">
        <v>40</v>
      </c>
      <c r="E885" s="5" t="str">
        <f>"陈俊宇"</f>
        <v>陈俊宇</v>
      </c>
      <c r="F885" s="5" t="str">
        <f t="shared" ref="F885:F888" si="254">"男"</f>
        <v>男</v>
      </c>
      <c r="G885" s="5" t="str">
        <f>"1996-07-08"</f>
        <v>1996-07-08</v>
      </c>
      <c r="H885" s="5" t="str">
        <f>"南昌航空大学科技学院"</f>
        <v>南昌航空大学科技学院</v>
      </c>
    </row>
    <row r="886" s="2" customFormat="1" ht="20" customHeight="1" spans="1:8">
      <c r="A886" s="5">
        <v>884</v>
      </c>
      <c r="B886" s="5" t="str">
        <f>"223220191125155418212264"</f>
        <v>223220191125155418212264</v>
      </c>
      <c r="C886" s="5" t="s">
        <v>39</v>
      </c>
      <c r="D886" s="5" t="s">
        <v>40</v>
      </c>
      <c r="E886" s="5" t="str">
        <f>"李秋萍"</f>
        <v>李秋萍</v>
      </c>
      <c r="F886" s="5" t="str">
        <f>"女"</f>
        <v>女</v>
      </c>
      <c r="G886" s="5" t="str">
        <f>"1992-02-23"</f>
        <v>1992-02-23</v>
      </c>
      <c r="H886" s="5" t="str">
        <f>"黑龙江外国语学院"</f>
        <v>黑龙江外国语学院</v>
      </c>
    </row>
    <row r="887" s="2" customFormat="1" ht="20" customHeight="1" spans="1:8">
      <c r="A887" s="5">
        <v>885</v>
      </c>
      <c r="B887" s="5" t="str">
        <f>"223220191125171047212364"</f>
        <v>223220191125171047212364</v>
      </c>
      <c r="C887" s="5" t="s">
        <v>39</v>
      </c>
      <c r="D887" s="5" t="s">
        <v>40</v>
      </c>
      <c r="E887" s="5" t="str">
        <f>"黄鸿华"</f>
        <v>黄鸿华</v>
      </c>
      <c r="F887" s="5" t="str">
        <f>"男"</f>
        <v>男</v>
      </c>
      <c r="G887" s="5" t="str">
        <f>"1994-03-29"</f>
        <v>1994-03-29</v>
      </c>
      <c r="H887" s="5" t="str">
        <f>"海南政法职业学院"</f>
        <v>海南政法职业学院</v>
      </c>
    </row>
    <row r="888" s="2" customFormat="1" ht="20" customHeight="1" spans="1:8">
      <c r="A888" s="5">
        <v>886</v>
      </c>
      <c r="B888" s="5" t="str">
        <f>"223220191125171849212375"</f>
        <v>223220191125171849212375</v>
      </c>
      <c r="C888" s="5" t="s">
        <v>39</v>
      </c>
      <c r="D888" s="5" t="s">
        <v>40</v>
      </c>
      <c r="E888" s="5" t="str">
        <f>"朱鼎煌"</f>
        <v>朱鼎煌</v>
      </c>
      <c r="F888" s="5" t="str">
        <f>"男"</f>
        <v>男</v>
      </c>
      <c r="G888" s="5" t="str">
        <f>"1987-01-05"</f>
        <v>1987-01-05</v>
      </c>
      <c r="H888" s="5" t="str">
        <f>"海南师范大学"</f>
        <v>海南师范大学</v>
      </c>
    </row>
    <row r="889" s="2" customFormat="1" ht="20" customHeight="1" spans="1:8">
      <c r="A889" s="5">
        <v>887</v>
      </c>
      <c r="B889" s="5" t="str">
        <f>"223220191125174920212418"</f>
        <v>223220191125174920212418</v>
      </c>
      <c r="C889" s="5" t="s">
        <v>39</v>
      </c>
      <c r="D889" s="5" t="s">
        <v>40</v>
      </c>
      <c r="E889" s="5" t="str">
        <f>"符文霞"</f>
        <v>符文霞</v>
      </c>
      <c r="F889" s="5" t="str">
        <f>"女"</f>
        <v>女</v>
      </c>
      <c r="G889" s="5" t="str">
        <f>"1993-12-08"</f>
        <v>1993-12-08</v>
      </c>
      <c r="H889" s="5" t="str">
        <f>"洛阳理工学院"</f>
        <v>洛阳理工学院</v>
      </c>
    </row>
    <row r="890" s="2" customFormat="1" ht="20" customHeight="1" spans="1:8">
      <c r="A890" s="5">
        <v>888</v>
      </c>
      <c r="B890" s="5" t="str">
        <f>"223220191125182341212456"</f>
        <v>223220191125182341212456</v>
      </c>
      <c r="C890" s="5" t="s">
        <v>39</v>
      </c>
      <c r="D890" s="5" t="s">
        <v>40</v>
      </c>
      <c r="E890" s="5" t="str">
        <f>"谭元甲"</f>
        <v>谭元甲</v>
      </c>
      <c r="F890" s="5" t="str">
        <f t="shared" ref="F890:F894" si="255">"男"</f>
        <v>男</v>
      </c>
      <c r="G890" s="5" t="str">
        <f>"1991-09-15"</f>
        <v>1991-09-15</v>
      </c>
      <c r="H890" s="5" t="str">
        <f>"海南政法职业学院"</f>
        <v>海南政法职业学院</v>
      </c>
    </row>
    <row r="891" s="2" customFormat="1" ht="20" customHeight="1" spans="1:8">
      <c r="A891" s="5">
        <v>889</v>
      </c>
      <c r="B891" s="5" t="str">
        <f>"223220191125194356212540"</f>
        <v>223220191125194356212540</v>
      </c>
      <c r="C891" s="5" t="s">
        <v>39</v>
      </c>
      <c r="D891" s="5" t="s">
        <v>40</v>
      </c>
      <c r="E891" s="5" t="str">
        <f>"吴有成"</f>
        <v>吴有成</v>
      </c>
      <c r="F891" s="5" t="str">
        <f t="shared" si="255"/>
        <v>男</v>
      </c>
      <c r="G891" s="5" t="str">
        <f>"1990-05-09"</f>
        <v>1990-05-09</v>
      </c>
      <c r="H891" s="5" t="str">
        <f>"中国民航大学"</f>
        <v>中国民航大学</v>
      </c>
    </row>
    <row r="892" s="2" customFormat="1" ht="20" customHeight="1" spans="1:8">
      <c r="A892" s="5">
        <v>890</v>
      </c>
      <c r="B892" s="5" t="str">
        <f>"223220191125215612212727"</f>
        <v>223220191125215612212727</v>
      </c>
      <c r="C892" s="5" t="s">
        <v>39</v>
      </c>
      <c r="D892" s="5" t="s">
        <v>40</v>
      </c>
      <c r="E892" s="5" t="str">
        <f>"罗发远"</f>
        <v>罗发远</v>
      </c>
      <c r="F892" s="5" t="str">
        <f t="shared" si="255"/>
        <v>男</v>
      </c>
      <c r="G892" s="5" t="str">
        <f>"1994-01-07"</f>
        <v>1994-01-07</v>
      </c>
      <c r="H892" s="5" t="str">
        <f>"江西理工大学应用科学学院"</f>
        <v>江西理工大学应用科学学院</v>
      </c>
    </row>
    <row r="893" s="2" customFormat="1" ht="20" customHeight="1" spans="1:8">
      <c r="A893" s="5">
        <v>891</v>
      </c>
      <c r="B893" s="5" t="str">
        <f>"223220191125223759212768"</f>
        <v>223220191125223759212768</v>
      </c>
      <c r="C893" s="5" t="s">
        <v>39</v>
      </c>
      <c r="D893" s="5" t="s">
        <v>40</v>
      </c>
      <c r="E893" s="5" t="str">
        <f>"郭福高"</f>
        <v>郭福高</v>
      </c>
      <c r="F893" s="5" t="str">
        <f t="shared" si="255"/>
        <v>男</v>
      </c>
      <c r="G893" s="5" t="str">
        <f>"1986-04-28"</f>
        <v>1986-04-28</v>
      </c>
      <c r="H893" s="5" t="str">
        <f>"三亚航空旅游职业学院"</f>
        <v>三亚航空旅游职业学院</v>
      </c>
    </row>
    <row r="894" s="2" customFormat="1" ht="20" customHeight="1" spans="1:8">
      <c r="A894" s="5">
        <v>892</v>
      </c>
      <c r="B894" s="5" t="str">
        <f>"223220191125232245212808"</f>
        <v>223220191125232245212808</v>
      </c>
      <c r="C894" s="5" t="s">
        <v>39</v>
      </c>
      <c r="D894" s="5" t="s">
        <v>40</v>
      </c>
      <c r="E894" s="5" t="str">
        <f>"黎肇前"</f>
        <v>黎肇前</v>
      </c>
      <c r="F894" s="5" t="str">
        <f t="shared" si="255"/>
        <v>男</v>
      </c>
      <c r="G894" s="5" t="str">
        <f>"1989-08-06"</f>
        <v>1989-08-06</v>
      </c>
      <c r="H894" s="5" t="str">
        <f>"长江职业学院"</f>
        <v>长江职业学院</v>
      </c>
    </row>
    <row r="895" s="2" customFormat="1" ht="20" customHeight="1" spans="1:8">
      <c r="A895" s="5">
        <v>893</v>
      </c>
      <c r="B895" s="5" t="str">
        <f>"223220191126085420212973"</f>
        <v>223220191126085420212973</v>
      </c>
      <c r="C895" s="5" t="s">
        <v>39</v>
      </c>
      <c r="D895" s="5" t="s">
        <v>40</v>
      </c>
      <c r="E895" s="5" t="str">
        <f>"董丽玲"</f>
        <v>董丽玲</v>
      </c>
      <c r="F895" s="5" t="str">
        <f t="shared" ref="F895:F904" si="256">"女"</f>
        <v>女</v>
      </c>
      <c r="G895" s="5" t="str">
        <f>"1991-07-08"</f>
        <v>1991-07-08</v>
      </c>
      <c r="H895" s="5" t="str">
        <f>"海南政法职业学院"</f>
        <v>海南政法职业学院</v>
      </c>
    </row>
    <row r="896" s="2" customFormat="1" ht="20" customHeight="1" spans="1:8">
      <c r="A896" s="5">
        <v>894</v>
      </c>
      <c r="B896" s="5" t="str">
        <f>"223220191126090510213009"</f>
        <v>223220191126090510213009</v>
      </c>
      <c r="C896" s="5" t="s">
        <v>39</v>
      </c>
      <c r="D896" s="5" t="s">
        <v>40</v>
      </c>
      <c r="E896" s="5" t="str">
        <f>"郑克妍"</f>
        <v>郑克妍</v>
      </c>
      <c r="F896" s="5" t="str">
        <f t="shared" si="256"/>
        <v>女</v>
      </c>
      <c r="G896" s="5" t="str">
        <f>"1989-08-14"</f>
        <v>1989-08-14</v>
      </c>
      <c r="H896" s="5" t="str">
        <f>"琼州学院"</f>
        <v>琼州学院</v>
      </c>
    </row>
    <row r="897" s="2" customFormat="1" ht="20" customHeight="1" spans="1:8">
      <c r="A897" s="5">
        <v>895</v>
      </c>
      <c r="B897" s="5" t="str">
        <f>"223220191126093556213150"</f>
        <v>223220191126093556213150</v>
      </c>
      <c r="C897" s="5" t="s">
        <v>39</v>
      </c>
      <c r="D897" s="5" t="s">
        <v>40</v>
      </c>
      <c r="E897" s="5" t="str">
        <f>"林名桂"</f>
        <v>林名桂</v>
      </c>
      <c r="F897" s="5" t="str">
        <f t="shared" si="256"/>
        <v>女</v>
      </c>
      <c r="G897" s="5" t="str">
        <f>"1990-08-15"</f>
        <v>1990-08-15</v>
      </c>
      <c r="H897" s="5" t="str">
        <f>"琼州学院"</f>
        <v>琼州学院</v>
      </c>
    </row>
    <row r="898" s="2" customFormat="1" ht="20" customHeight="1" spans="1:8">
      <c r="A898" s="5">
        <v>896</v>
      </c>
      <c r="B898" s="5" t="str">
        <f>"223220191126100903213293"</f>
        <v>223220191126100903213293</v>
      </c>
      <c r="C898" s="5" t="s">
        <v>39</v>
      </c>
      <c r="D898" s="5" t="s">
        <v>40</v>
      </c>
      <c r="E898" s="5" t="str">
        <f>"刘晓梅"</f>
        <v>刘晓梅</v>
      </c>
      <c r="F898" s="5" t="str">
        <f t="shared" si="256"/>
        <v>女</v>
      </c>
      <c r="G898" s="5" t="str">
        <f>"1994-02-02"</f>
        <v>1994-02-02</v>
      </c>
      <c r="H898" s="5" t="str">
        <f>"琼台师范学院"</f>
        <v>琼台师范学院</v>
      </c>
    </row>
    <row r="899" s="2" customFormat="1" ht="20" customHeight="1" spans="1:8">
      <c r="A899" s="5">
        <v>897</v>
      </c>
      <c r="B899" s="5" t="str">
        <f>"223220191126101342213315"</f>
        <v>223220191126101342213315</v>
      </c>
      <c r="C899" s="5" t="s">
        <v>39</v>
      </c>
      <c r="D899" s="5" t="s">
        <v>40</v>
      </c>
      <c r="E899" s="5" t="str">
        <f>"何秀花"</f>
        <v>何秀花</v>
      </c>
      <c r="F899" s="5" t="str">
        <f t="shared" si="256"/>
        <v>女</v>
      </c>
      <c r="G899" s="5" t="str">
        <f>"1994-03-28"</f>
        <v>1994-03-28</v>
      </c>
      <c r="H899" s="5" t="str">
        <f>"烟台大学"</f>
        <v>烟台大学</v>
      </c>
    </row>
    <row r="900" s="2" customFormat="1" ht="20" customHeight="1" spans="1:8">
      <c r="A900" s="5">
        <v>898</v>
      </c>
      <c r="B900" s="5" t="str">
        <f>"223220191126103653213400"</f>
        <v>223220191126103653213400</v>
      </c>
      <c r="C900" s="5" t="s">
        <v>39</v>
      </c>
      <c r="D900" s="5" t="s">
        <v>40</v>
      </c>
      <c r="E900" s="5" t="str">
        <f>"陈秋平"</f>
        <v>陈秋平</v>
      </c>
      <c r="F900" s="5" t="str">
        <f t="shared" si="256"/>
        <v>女</v>
      </c>
      <c r="G900" s="5" t="str">
        <f>"1996-09-21"</f>
        <v>1996-09-21</v>
      </c>
      <c r="H900" s="5" t="str">
        <f>"大连财经学院"</f>
        <v>大连财经学院</v>
      </c>
    </row>
    <row r="901" s="2" customFormat="1" ht="20" customHeight="1" spans="1:8">
      <c r="A901" s="5">
        <v>899</v>
      </c>
      <c r="B901" s="5" t="str">
        <f>"223220191126103837213406"</f>
        <v>223220191126103837213406</v>
      </c>
      <c r="C901" s="5" t="s">
        <v>39</v>
      </c>
      <c r="D901" s="5" t="s">
        <v>40</v>
      </c>
      <c r="E901" s="5" t="str">
        <f>"谭秋燕"</f>
        <v>谭秋燕</v>
      </c>
      <c r="F901" s="5" t="str">
        <f t="shared" si="256"/>
        <v>女</v>
      </c>
      <c r="G901" s="5" t="str">
        <f>"1993-12-13"</f>
        <v>1993-12-13</v>
      </c>
      <c r="H901" s="5" t="str">
        <f>"新乡学院"</f>
        <v>新乡学院</v>
      </c>
    </row>
    <row r="902" s="2" customFormat="1" ht="20" customHeight="1" spans="1:8">
      <c r="A902" s="5">
        <v>900</v>
      </c>
      <c r="B902" s="5" t="str">
        <f>"223220191126105518213456"</f>
        <v>223220191126105518213456</v>
      </c>
      <c r="C902" s="5" t="s">
        <v>39</v>
      </c>
      <c r="D902" s="5" t="s">
        <v>40</v>
      </c>
      <c r="E902" s="5" t="str">
        <f>"王文庆"</f>
        <v>王文庆</v>
      </c>
      <c r="F902" s="5" t="str">
        <f t="shared" si="256"/>
        <v>女</v>
      </c>
      <c r="G902" s="5" t="str">
        <f>"1995-05-08"</f>
        <v>1995-05-08</v>
      </c>
      <c r="H902" s="5" t="str">
        <f>"江西科技学院"</f>
        <v>江西科技学院</v>
      </c>
    </row>
    <row r="903" s="2" customFormat="1" ht="20" customHeight="1" spans="1:8">
      <c r="A903" s="5">
        <v>901</v>
      </c>
      <c r="B903" s="5" t="str">
        <f>"223220191126111304213519"</f>
        <v>223220191126111304213519</v>
      </c>
      <c r="C903" s="5" t="s">
        <v>39</v>
      </c>
      <c r="D903" s="5" t="s">
        <v>40</v>
      </c>
      <c r="E903" s="5" t="str">
        <f>"陈道玉"</f>
        <v>陈道玉</v>
      </c>
      <c r="F903" s="5" t="str">
        <f t="shared" si="256"/>
        <v>女</v>
      </c>
      <c r="G903" s="5" t="str">
        <f>"1996-08-11"</f>
        <v>1996-08-11</v>
      </c>
      <c r="H903" s="5" t="str">
        <f>"海南职业技术学院"</f>
        <v>海南职业技术学院</v>
      </c>
    </row>
    <row r="904" s="2" customFormat="1" ht="20" customHeight="1" spans="1:8">
      <c r="A904" s="5">
        <v>902</v>
      </c>
      <c r="B904" s="5" t="str">
        <f>"223220191126140644213898"</f>
        <v>223220191126140644213898</v>
      </c>
      <c r="C904" s="5" t="s">
        <v>39</v>
      </c>
      <c r="D904" s="5" t="s">
        <v>40</v>
      </c>
      <c r="E904" s="5" t="str">
        <f>"王晓盖"</f>
        <v>王晓盖</v>
      </c>
      <c r="F904" s="5" t="str">
        <f t="shared" si="256"/>
        <v>女</v>
      </c>
      <c r="G904" s="5" t="str">
        <f>"1996-03-17"</f>
        <v>1996-03-17</v>
      </c>
      <c r="H904" s="5" t="str">
        <f>"平顶山学院"</f>
        <v>平顶山学院</v>
      </c>
    </row>
    <row r="905" s="2" customFormat="1" ht="20" customHeight="1" spans="1:8">
      <c r="A905" s="5">
        <v>903</v>
      </c>
      <c r="B905" s="5" t="str">
        <f>"223220191126145817214005"</f>
        <v>223220191126145817214005</v>
      </c>
      <c r="C905" s="5" t="s">
        <v>39</v>
      </c>
      <c r="D905" s="5" t="s">
        <v>40</v>
      </c>
      <c r="E905" s="5" t="str">
        <f>"何有岗"</f>
        <v>何有岗</v>
      </c>
      <c r="F905" s="5" t="str">
        <f t="shared" ref="F905:F907" si="257">"男"</f>
        <v>男</v>
      </c>
      <c r="G905" s="5" t="str">
        <f>"1992-08-14"</f>
        <v>1992-08-14</v>
      </c>
      <c r="H905" s="5" t="str">
        <f>"海南职业技术学院"</f>
        <v>海南职业技术学院</v>
      </c>
    </row>
    <row r="906" s="2" customFormat="1" ht="20" customHeight="1" spans="1:8">
      <c r="A906" s="5">
        <v>904</v>
      </c>
      <c r="B906" s="5" t="str">
        <f>"223220191126151849214051"</f>
        <v>223220191126151849214051</v>
      </c>
      <c r="C906" s="5" t="s">
        <v>39</v>
      </c>
      <c r="D906" s="5" t="s">
        <v>40</v>
      </c>
      <c r="E906" s="5" t="str">
        <f>"谢志富"</f>
        <v>谢志富</v>
      </c>
      <c r="F906" s="5" t="str">
        <f t="shared" si="257"/>
        <v>男</v>
      </c>
      <c r="G906" s="5" t="str">
        <f>"1988-04-05"</f>
        <v>1988-04-05</v>
      </c>
      <c r="H906" s="5" t="str">
        <f>"四川交通职业技术学院"</f>
        <v>四川交通职业技术学院</v>
      </c>
    </row>
    <row r="907" s="2" customFormat="1" ht="20" customHeight="1" spans="1:8">
      <c r="A907" s="5">
        <v>905</v>
      </c>
      <c r="B907" s="5" t="str">
        <f>"223220191126152404214063"</f>
        <v>223220191126152404214063</v>
      </c>
      <c r="C907" s="5" t="s">
        <v>39</v>
      </c>
      <c r="D907" s="5" t="s">
        <v>40</v>
      </c>
      <c r="E907" s="5" t="str">
        <f>"唐学伟"</f>
        <v>唐学伟</v>
      </c>
      <c r="F907" s="5" t="str">
        <f t="shared" si="257"/>
        <v>男</v>
      </c>
      <c r="G907" s="5" t="str">
        <f>"1997-05-20"</f>
        <v>1997-05-20</v>
      </c>
      <c r="H907" s="5" t="str">
        <f>"海口经济学院"</f>
        <v>海口经济学院</v>
      </c>
    </row>
    <row r="908" s="2" customFormat="1" ht="20" customHeight="1" spans="1:8">
      <c r="A908" s="5">
        <v>906</v>
      </c>
      <c r="B908" s="5" t="str">
        <f>"223220191126153503214092"</f>
        <v>223220191126153503214092</v>
      </c>
      <c r="C908" s="5" t="s">
        <v>39</v>
      </c>
      <c r="D908" s="5" t="s">
        <v>40</v>
      </c>
      <c r="E908" s="5" t="str">
        <f>"邱凤香"</f>
        <v>邱凤香</v>
      </c>
      <c r="F908" s="5" t="str">
        <f>"女"</f>
        <v>女</v>
      </c>
      <c r="G908" s="5" t="str">
        <f>"1988-05-20"</f>
        <v>1988-05-20</v>
      </c>
      <c r="H908" s="5" t="str">
        <f>"西安财经学院"</f>
        <v>西安财经学院</v>
      </c>
    </row>
    <row r="909" s="2" customFormat="1" ht="20" customHeight="1" spans="1:8">
      <c r="A909" s="5">
        <v>907</v>
      </c>
      <c r="B909" s="5" t="str">
        <f>"223220191126153951214101"</f>
        <v>223220191126153951214101</v>
      </c>
      <c r="C909" s="5" t="s">
        <v>39</v>
      </c>
      <c r="D909" s="5" t="s">
        <v>40</v>
      </c>
      <c r="E909" s="5" t="str">
        <f>"陈娟"</f>
        <v>陈娟</v>
      </c>
      <c r="F909" s="5" t="str">
        <f>"女"</f>
        <v>女</v>
      </c>
      <c r="G909" s="5" t="str">
        <f>"19870502"</f>
        <v>19870502</v>
      </c>
      <c r="H909" s="5" t="str">
        <f>"湖南理工学院"</f>
        <v>湖南理工学院</v>
      </c>
    </row>
    <row r="910" s="2" customFormat="1" ht="20" customHeight="1" spans="1:8">
      <c r="A910" s="5">
        <v>908</v>
      </c>
      <c r="B910" s="5" t="str">
        <f>"223220191126160945214161"</f>
        <v>223220191126160945214161</v>
      </c>
      <c r="C910" s="5" t="s">
        <v>39</v>
      </c>
      <c r="D910" s="5" t="s">
        <v>40</v>
      </c>
      <c r="E910" s="5" t="str">
        <f>"王应明"</f>
        <v>王应明</v>
      </c>
      <c r="F910" s="5" t="str">
        <f t="shared" ref="F910:F913" si="258">"男"</f>
        <v>男</v>
      </c>
      <c r="G910" s="5" t="str">
        <f>"1991-08-16"</f>
        <v>1991-08-16</v>
      </c>
      <c r="H910" s="5" t="str">
        <f>"西南民族大学"</f>
        <v>西南民族大学</v>
      </c>
    </row>
    <row r="911" s="2" customFormat="1" ht="20" customHeight="1" spans="1:8">
      <c r="A911" s="5">
        <v>909</v>
      </c>
      <c r="B911" s="5" t="str">
        <f>"223220191126161214214170"</f>
        <v>223220191126161214214170</v>
      </c>
      <c r="C911" s="5" t="s">
        <v>39</v>
      </c>
      <c r="D911" s="5" t="s">
        <v>40</v>
      </c>
      <c r="E911" s="5" t="str">
        <f>"陈定才"</f>
        <v>陈定才</v>
      </c>
      <c r="F911" s="5" t="str">
        <f t="shared" si="258"/>
        <v>男</v>
      </c>
      <c r="G911" s="5" t="str">
        <f>"1986-10-05"</f>
        <v>1986-10-05</v>
      </c>
      <c r="H911" s="5" t="str">
        <f>"琼州学院"</f>
        <v>琼州学院</v>
      </c>
    </row>
    <row r="912" s="2" customFormat="1" ht="20" customHeight="1" spans="1:8">
      <c r="A912" s="5">
        <v>910</v>
      </c>
      <c r="B912" s="5" t="str">
        <f>"223220191126162534214198"</f>
        <v>223220191126162534214198</v>
      </c>
      <c r="C912" s="5" t="s">
        <v>39</v>
      </c>
      <c r="D912" s="5" t="s">
        <v>40</v>
      </c>
      <c r="E912" s="5" t="str">
        <f>"谢壮武"</f>
        <v>谢壮武</v>
      </c>
      <c r="F912" s="5" t="str">
        <f t="shared" si="258"/>
        <v>男</v>
      </c>
      <c r="G912" s="5" t="str">
        <f>"1995-05-01"</f>
        <v>1995-05-01</v>
      </c>
      <c r="H912" s="5" t="str">
        <f>"天津公安警官职业学院"</f>
        <v>天津公安警官职业学院</v>
      </c>
    </row>
    <row r="913" s="2" customFormat="1" ht="20" customHeight="1" spans="1:8">
      <c r="A913" s="5">
        <v>911</v>
      </c>
      <c r="B913" s="5" t="str">
        <f>"223220191126183618214476"</f>
        <v>223220191126183618214476</v>
      </c>
      <c r="C913" s="5" t="s">
        <v>39</v>
      </c>
      <c r="D913" s="5" t="s">
        <v>40</v>
      </c>
      <c r="E913" s="5" t="str">
        <f>"陈壮慧"</f>
        <v>陈壮慧</v>
      </c>
      <c r="F913" s="5" t="str">
        <f t="shared" si="258"/>
        <v>男</v>
      </c>
      <c r="G913" s="5" t="str">
        <f>"1995-02-01"</f>
        <v>1995-02-01</v>
      </c>
      <c r="H913" s="5" t="str">
        <f>"贵州大学"</f>
        <v>贵州大学</v>
      </c>
    </row>
    <row r="914" s="2" customFormat="1" ht="20" customHeight="1" spans="1:8">
      <c r="A914" s="5">
        <v>912</v>
      </c>
      <c r="B914" s="5" t="str">
        <f>"223220191126195632214596"</f>
        <v>223220191126195632214596</v>
      </c>
      <c r="C914" s="5" t="s">
        <v>39</v>
      </c>
      <c r="D914" s="5" t="s">
        <v>40</v>
      </c>
      <c r="E914" s="5" t="str">
        <f>"刘婆庆"</f>
        <v>刘婆庆</v>
      </c>
      <c r="F914" s="5" t="str">
        <f>"女"</f>
        <v>女</v>
      </c>
      <c r="G914" s="5" t="str">
        <f>"1995-07-19"</f>
        <v>1995-07-19</v>
      </c>
      <c r="H914" s="5" t="str">
        <f>"山西省忻州师范学院"</f>
        <v>山西省忻州师范学院</v>
      </c>
    </row>
    <row r="915" s="2" customFormat="1" ht="20" customHeight="1" spans="1:8">
      <c r="A915" s="5">
        <v>913</v>
      </c>
      <c r="B915" s="5" t="str">
        <f>"223220191126202426214652"</f>
        <v>223220191126202426214652</v>
      </c>
      <c r="C915" s="5" t="s">
        <v>39</v>
      </c>
      <c r="D915" s="5" t="s">
        <v>40</v>
      </c>
      <c r="E915" s="5" t="str">
        <f>"羊位卿"</f>
        <v>羊位卿</v>
      </c>
      <c r="F915" s="5" t="str">
        <f t="shared" ref="F915:F919" si="259">"男"</f>
        <v>男</v>
      </c>
      <c r="G915" s="5" t="str">
        <f>"1990-12-06"</f>
        <v>1990-12-06</v>
      </c>
      <c r="H915" s="5" t="str">
        <f>"西安财经学院"</f>
        <v>西安财经学院</v>
      </c>
    </row>
    <row r="916" s="2" customFormat="1" ht="20" customHeight="1" spans="1:8">
      <c r="A916" s="5">
        <v>914</v>
      </c>
      <c r="B916" s="5" t="str">
        <f>"223220191126214409214803"</f>
        <v>223220191126214409214803</v>
      </c>
      <c r="C916" s="5" t="s">
        <v>39</v>
      </c>
      <c r="D916" s="5" t="s">
        <v>40</v>
      </c>
      <c r="E916" s="5" t="str">
        <f>"郭益强"</f>
        <v>郭益强</v>
      </c>
      <c r="F916" s="5" t="str">
        <f t="shared" si="259"/>
        <v>男</v>
      </c>
      <c r="G916" s="5" t="str">
        <f>"1991-12-03"</f>
        <v>1991-12-03</v>
      </c>
      <c r="H916" s="5" t="str">
        <f>"广西工程职业学院"</f>
        <v>广西工程职业学院</v>
      </c>
    </row>
    <row r="917" s="2" customFormat="1" ht="20" customHeight="1" spans="1:8">
      <c r="A917" s="5">
        <v>915</v>
      </c>
      <c r="B917" s="5" t="str">
        <f>"223220191126222240214871"</f>
        <v>223220191126222240214871</v>
      </c>
      <c r="C917" s="5" t="s">
        <v>39</v>
      </c>
      <c r="D917" s="5" t="s">
        <v>40</v>
      </c>
      <c r="E917" s="5" t="str">
        <f>"张佳祺"</f>
        <v>张佳祺</v>
      </c>
      <c r="F917" s="5" t="str">
        <f t="shared" ref="F917:F922" si="260">"女"</f>
        <v>女</v>
      </c>
      <c r="G917" s="5" t="str">
        <f>"1994-07-04"</f>
        <v>1994-07-04</v>
      </c>
      <c r="H917" s="5" t="str">
        <f>"忻州师范学院"</f>
        <v>忻州师范学院</v>
      </c>
    </row>
    <row r="918" s="2" customFormat="1" ht="20" customHeight="1" spans="1:8">
      <c r="A918" s="5">
        <v>916</v>
      </c>
      <c r="B918" s="5" t="str">
        <f>"223220191127072905214980"</f>
        <v>223220191127072905214980</v>
      </c>
      <c r="C918" s="5" t="s">
        <v>39</v>
      </c>
      <c r="D918" s="5" t="s">
        <v>40</v>
      </c>
      <c r="E918" s="5" t="str">
        <f>"黎传泽"</f>
        <v>黎传泽</v>
      </c>
      <c r="F918" s="5" t="str">
        <f t="shared" ref="F918:F924" si="261">"男"</f>
        <v>男</v>
      </c>
      <c r="G918" s="5" t="str">
        <f>"1990-08-02"</f>
        <v>1990-08-02</v>
      </c>
      <c r="H918" s="5" t="str">
        <f>"江西现代职业技术学院"</f>
        <v>江西现代职业技术学院</v>
      </c>
    </row>
    <row r="919" s="2" customFormat="1" ht="20" customHeight="1" spans="1:8">
      <c r="A919" s="5">
        <v>917</v>
      </c>
      <c r="B919" s="5" t="str">
        <f>"223220191127082951215006"</f>
        <v>223220191127082951215006</v>
      </c>
      <c r="C919" s="5" t="s">
        <v>39</v>
      </c>
      <c r="D919" s="5" t="s">
        <v>40</v>
      </c>
      <c r="E919" s="5" t="str">
        <f>"吴日全"</f>
        <v>吴日全</v>
      </c>
      <c r="F919" s="5" t="str">
        <f t="shared" si="261"/>
        <v>男</v>
      </c>
      <c r="G919" s="5" t="str">
        <f>"1985-10-12"</f>
        <v>1985-10-12</v>
      </c>
      <c r="H919" s="5" t="str">
        <f>"南昌工程学院"</f>
        <v>南昌工程学院</v>
      </c>
    </row>
    <row r="920" s="2" customFormat="1" ht="20" customHeight="1" spans="1:8">
      <c r="A920" s="5">
        <v>918</v>
      </c>
      <c r="B920" s="5" t="str">
        <f>"223220191127085931215057"</f>
        <v>223220191127085931215057</v>
      </c>
      <c r="C920" s="5" t="s">
        <v>39</v>
      </c>
      <c r="D920" s="5" t="s">
        <v>40</v>
      </c>
      <c r="E920" s="5" t="str">
        <f>"李莉"</f>
        <v>李莉</v>
      </c>
      <c r="F920" s="5" t="str">
        <f t="shared" ref="F920:F926" si="262">"女"</f>
        <v>女</v>
      </c>
      <c r="G920" s="5" t="str">
        <f>"1993-08-15"</f>
        <v>1993-08-15</v>
      </c>
      <c r="H920" s="5" t="str">
        <f>"琼州学院"</f>
        <v>琼州学院</v>
      </c>
    </row>
    <row r="921" s="2" customFormat="1" ht="20" customHeight="1" spans="1:8">
      <c r="A921" s="5">
        <v>919</v>
      </c>
      <c r="B921" s="5" t="str">
        <f>"223220191127094419215146"</f>
        <v>223220191127094419215146</v>
      </c>
      <c r="C921" s="5" t="s">
        <v>39</v>
      </c>
      <c r="D921" s="5" t="s">
        <v>40</v>
      </c>
      <c r="E921" s="5" t="str">
        <f>"李金科"</f>
        <v>李金科</v>
      </c>
      <c r="F921" s="5" t="str">
        <f t="shared" ref="F921:F924" si="263">"男"</f>
        <v>男</v>
      </c>
      <c r="G921" s="5" t="str">
        <f>"1992-09-20"</f>
        <v>1992-09-20</v>
      </c>
      <c r="H921" s="5" t="str">
        <f>"海南政法职业学院"</f>
        <v>海南政法职业学院</v>
      </c>
    </row>
    <row r="922" s="2" customFormat="1" ht="20" customHeight="1" spans="1:8">
      <c r="A922" s="5">
        <v>920</v>
      </c>
      <c r="B922" s="5" t="str">
        <f>"223220191127103154215218"</f>
        <v>223220191127103154215218</v>
      </c>
      <c r="C922" s="5" t="s">
        <v>39</v>
      </c>
      <c r="D922" s="5" t="s">
        <v>40</v>
      </c>
      <c r="E922" s="5" t="str">
        <f>"张在花"</f>
        <v>张在花</v>
      </c>
      <c r="F922" s="5" t="str">
        <f>"女"</f>
        <v>女</v>
      </c>
      <c r="G922" s="5" t="str">
        <f>"1990-07-04"</f>
        <v>1990-07-04</v>
      </c>
      <c r="H922" s="5" t="str">
        <f>"兰州城市学院"</f>
        <v>兰州城市学院</v>
      </c>
    </row>
    <row r="923" s="2" customFormat="1" ht="20" customHeight="1" spans="1:8">
      <c r="A923" s="5">
        <v>921</v>
      </c>
      <c r="B923" s="5" t="str">
        <f>"223220191127114358215343"</f>
        <v>223220191127114358215343</v>
      </c>
      <c r="C923" s="5" t="s">
        <v>39</v>
      </c>
      <c r="D923" s="5" t="s">
        <v>40</v>
      </c>
      <c r="E923" s="5" t="str">
        <f>"薛良鸿"</f>
        <v>薛良鸿</v>
      </c>
      <c r="F923" s="5" t="str">
        <f>"男"</f>
        <v>男</v>
      </c>
      <c r="G923" s="5" t="str">
        <f>"1998-01-08"</f>
        <v>1998-01-08</v>
      </c>
      <c r="H923" s="5" t="str">
        <f>"海南科技职业大学"</f>
        <v>海南科技职业大学</v>
      </c>
    </row>
    <row r="924" s="2" customFormat="1" ht="20" customHeight="1" spans="1:8">
      <c r="A924" s="5">
        <v>922</v>
      </c>
      <c r="B924" s="5" t="str">
        <f>"223220191127160408215697"</f>
        <v>223220191127160408215697</v>
      </c>
      <c r="C924" s="5" t="s">
        <v>39</v>
      </c>
      <c r="D924" s="5" t="s">
        <v>40</v>
      </c>
      <c r="E924" s="5" t="str">
        <f>"羊仕运"</f>
        <v>羊仕运</v>
      </c>
      <c r="F924" s="5" t="str">
        <f>"男"</f>
        <v>男</v>
      </c>
      <c r="G924" s="5" t="str">
        <f>"1990-06-12"</f>
        <v>1990-06-12</v>
      </c>
      <c r="H924" s="5" t="str">
        <f>"琼州学院"</f>
        <v>琼州学院</v>
      </c>
    </row>
    <row r="925" s="2" customFormat="1" ht="20" customHeight="1" spans="1:8">
      <c r="A925" s="5">
        <v>923</v>
      </c>
      <c r="B925" s="5" t="str">
        <f>"223220191127170333215798"</f>
        <v>223220191127170333215798</v>
      </c>
      <c r="C925" s="5" t="s">
        <v>39</v>
      </c>
      <c r="D925" s="5" t="s">
        <v>40</v>
      </c>
      <c r="E925" s="5" t="str">
        <f>"薛丽斌"</f>
        <v>薛丽斌</v>
      </c>
      <c r="F925" s="5" t="str">
        <f>"女"</f>
        <v>女</v>
      </c>
      <c r="G925" s="5" t="str">
        <f>"1997-10-02"</f>
        <v>1997-10-02</v>
      </c>
      <c r="H925" s="5" t="str">
        <f>"江西科技师范大学"</f>
        <v>江西科技师范大学</v>
      </c>
    </row>
    <row r="926" s="2" customFormat="1" ht="20" customHeight="1" spans="1:8">
      <c r="A926" s="5">
        <v>924</v>
      </c>
      <c r="B926" s="5" t="str">
        <f>"223220191127171242215808"</f>
        <v>223220191127171242215808</v>
      </c>
      <c r="C926" s="5" t="s">
        <v>39</v>
      </c>
      <c r="D926" s="5" t="s">
        <v>40</v>
      </c>
      <c r="E926" s="5" t="str">
        <f>"胡何川"</f>
        <v>胡何川</v>
      </c>
      <c r="F926" s="5" t="str">
        <f>"女"</f>
        <v>女</v>
      </c>
      <c r="G926" s="5" t="str">
        <f>"1985-12-06"</f>
        <v>1985-12-06</v>
      </c>
      <c r="H926" s="5" t="str">
        <f>"海南省琼台师范高等专科学校"</f>
        <v>海南省琼台师范高等专科学校</v>
      </c>
    </row>
    <row r="927" s="2" customFormat="1" ht="20" customHeight="1" spans="1:8">
      <c r="A927" s="5">
        <v>925</v>
      </c>
      <c r="B927" s="5" t="str">
        <f>"223220191127192652215953"</f>
        <v>223220191127192652215953</v>
      </c>
      <c r="C927" s="5" t="s">
        <v>39</v>
      </c>
      <c r="D927" s="5" t="s">
        <v>40</v>
      </c>
      <c r="E927" s="5" t="str">
        <f>"李生能"</f>
        <v>李生能</v>
      </c>
      <c r="F927" s="5" t="str">
        <f t="shared" ref="F927:F930" si="264">"男"</f>
        <v>男</v>
      </c>
      <c r="G927" s="5" t="str">
        <f>"1992-05-19"</f>
        <v>1992-05-19</v>
      </c>
      <c r="H927" s="5" t="str">
        <f>"桂林理工大学"</f>
        <v>桂林理工大学</v>
      </c>
    </row>
    <row r="928" s="2" customFormat="1" ht="20" customHeight="1" spans="1:8">
      <c r="A928" s="5">
        <v>926</v>
      </c>
      <c r="B928" s="5" t="str">
        <f>"223220191127203201216051"</f>
        <v>223220191127203201216051</v>
      </c>
      <c r="C928" s="5" t="s">
        <v>39</v>
      </c>
      <c r="D928" s="5" t="s">
        <v>40</v>
      </c>
      <c r="E928" s="5" t="str">
        <f>"邱子龙"</f>
        <v>邱子龙</v>
      </c>
      <c r="F928" s="5" t="str">
        <f t="shared" si="264"/>
        <v>男</v>
      </c>
      <c r="G928" s="5" t="str">
        <f>"1992-11-09"</f>
        <v>1992-11-09</v>
      </c>
      <c r="H928" s="5" t="str">
        <f>"湖南科技大学"</f>
        <v>湖南科技大学</v>
      </c>
    </row>
    <row r="929" s="2" customFormat="1" ht="20" customHeight="1" spans="1:8">
      <c r="A929" s="5">
        <v>927</v>
      </c>
      <c r="B929" s="5" t="str">
        <f>"223220191127212928216133"</f>
        <v>223220191127212928216133</v>
      </c>
      <c r="C929" s="5" t="s">
        <v>39</v>
      </c>
      <c r="D929" s="5" t="s">
        <v>40</v>
      </c>
      <c r="E929" s="5" t="str">
        <f>"俞海帆"</f>
        <v>俞海帆</v>
      </c>
      <c r="F929" s="5" t="str">
        <f t="shared" si="264"/>
        <v>男</v>
      </c>
      <c r="G929" s="5" t="str">
        <f>"1989-10-21"</f>
        <v>1989-10-21</v>
      </c>
      <c r="H929" s="5" t="str">
        <f>"长春职业技术学院"</f>
        <v>长春职业技术学院</v>
      </c>
    </row>
    <row r="930" s="2" customFormat="1" ht="20" customHeight="1" spans="1:8">
      <c r="A930" s="5">
        <v>928</v>
      </c>
      <c r="B930" s="5" t="str">
        <f>"223220191128091735216357"</f>
        <v>223220191128091735216357</v>
      </c>
      <c r="C930" s="5" t="s">
        <v>39</v>
      </c>
      <c r="D930" s="5" t="s">
        <v>40</v>
      </c>
      <c r="E930" s="5" t="str">
        <f>"陈志悦"</f>
        <v>陈志悦</v>
      </c>
      <c r="F930" s="5" t="str">
        <f t="shared" si="264"/>
        <v>男</v>
      </c>
      <c r="G930" s="5" t="str">
        <f>"1989-10-13"</f>
        <v>1989-10-13</v>
      </c>
      <c r="H930" s="5" t="str">
        <f>"黑龙江生态工程职业学院"</f>
        <v>黑龙江生态工程职业学院</v>
      </c>
    </row>
    <row r="931" s="2" customFormat="1" ht="20" customHeight="1" spans="1:8">
      <c r="A931" s="5">
        <v>929</v>
      </c>
      <c r="B931" s="5" t="str">
        <f>"223220191128101942216464"</f>
        <v>223220191128101942216464</v>
      </c>
      <c r="C931" s="5" t="s">
        <v>39</v>
      </c>
      <c r="D931" s="5" t="s">
        <v>40</v>
      </c>
      <c r="E931" s="5" t="str">
        <f>"蒋英锐"</f>
        <v>蒋英锐</v>
      </c>
      <c r="F931" s="5" t="str">
        <f t="shared" ref="F931:F935" si="265">"女"</f>
        <v>女</v>
      </c>
      <c r="G931" s="5" t="str">
        <f>"1988-07-30"</f>
        <v>1988-07-30</v>
      </c>
      <c r="H931" s="5" t="str">
        <f>"琼台师范高等专科学校"</f>
        <v>琼台师范高等专科学校</v>
      </c>
    </row>
    <row r="932" s="2" customFormat="1" ht="20" customHeight="1" spans="1:8">
      <c r="A932" s="5">
        <v>930</v>
      </c>
      <c r="B932" s="5" t="str">
        <f>"223220191128114339216574"</f>
        <v>223220191128114339216574</v>
      </c>
      <c r="C932" s="5" t="s">
        <v>39</v>
      </c>
      <c r="D932" s="5" t="s">
        <v>40</v>
      </c>
      <c r="E932" s="5" t="str">
        <f>"董定安"</f>
        <v>董定安</v>
      </c>
      <c r="F932" s="5" t="str">
        <f t="shared" ref="F932:F936" si="266">"男"</f>
        <v>男</v>
      </c>
      <c r="G932" s="5" t="str">
        <f>"1990-07-05"</f>
        <v>1990-07-05</v>
      </c>
      <c r="H932" s="5" t="str">
        <f>"三亚理工职业学院"</f>
        <v>三亚理工职业学院</v>
      </c>
    </row>
    <row r="933" s="2" customFormat="1" ht="20" customHeight="1" spans="1:8">
      <c r="A933" s="5">
        <v>931</v>
      </c>
      <c r="B933" s="5" t="str">
        <f>"223220191128114647216580"</f>
        <v>223220191128114647216580</v>
      </c>
      <c r="C933" s="5" t="s">
        <v>39</v>
      </c>
      <c r="D933" s="5" t="s">
        <v>40</v>
      </c>
      <c r="E933" s="5" t="str">
        <f>"林尚佑"</f>
        <v>林尚佑</v>
      </c>
      <c r="F933" s="5" t="str">
        <f t="shared" si="266"/>
        <v>男</v>
      </c>
      <c r="G933" s="5" t="str">
        <f>"1986-07-24"</f>
        <v>1986-07-24</v>
      </c>
      <c r="H933" s="5" t="str">
        <f>"琼州学院"</f>
        <v>琼州学院</v>
      </c>
    </row>
    <row r="934" s="2" customFormat="1" ht="20" customHeight="1" spans="1:8">
      <c r="A934" s="5">
        <v>932</v>
      </c>
      <c r="B934" s="5" t="str">
        <f>"223220191128114931216586"</f>
        <v>223220191128114931216586</v>
      </c>
      <c r="C934" s="5" t="s">
        <v>39</v>
      </c>
      <c r="D934" s="5" t="s">
        <v>40</v>
      </c>
      <c r="E934" s="5" t="str">
        <f>"吕世珠"</f>
        <v>吕世珠</v>
      </c>
      <c r="F934" s="5" t="str">
        <f t="shared" ref="F934:F937" si="267">"女"</f>
        <v>女</v>
      </c>
      <c r="G934" s="5" t="str">
        <f>"1990-06-20"</f>
        <v>1990-06-20</v>
      </c>
      <c r="H934" s="5" t="str">
        <f>"江西科技学院"</f>
        <v>江西科技学院</v>
      </c>
    </row>
    <row r="935" s="2" customFormat="1" ht="20" customHeight="1" spans="1:8">
      <c r="A935" s="5">
        <v>933</v>
      </c>
      <c r="B935" s="5" t="str">
        <f>"223220191128143948216785"</f>
        <v>223220191128143948216785</v>
      </c>
      <c r="C935" s="5" t="s">
        <v>39</v>
      </c>
      <c r="D935" s="5" t="s">
        <v>40</v>
      </c>
      <c r="E935" s="5" t="str">
        <f>"冯品和"</f>
        <v>冯品和</v>
      </c>
      <c r="F935" s="5" t="str">
        <f t="shared" si="267"/>
        <v>女</v>
      </c>
      <c r="G935" s="5" t="str">
        <f>"1994-05-01"</f>
        <v>1994-05-01</v>
      </c>
      <c r="H935" s="5" t="str">
        <f>"海南热带海洋学院"</f>
        <v>海南热带海洋学院</v>
      </c>
    </row>
    <row r="936" s="2" customFormat="1" ht="20" customHeight="1" spans="1:8">
      <c r="A936" s="5">
        <v>934</v>
      </c>
      <c r="B936" s="5" t="str">
        <f>"223220191128152828216862"</f>
        <v>223220191128152828216862</v>
      </c>
      <c r="C936" s="5" t="s">
        <v>39</v>
      </c>
      <c r="D936" s="5" t="s">
        <v>40</v>
      </c>
      <c r="E936" s="5" t="str">
        <f>"曾常国"</f>
        <v>曾常国</v>
      </c>
      <c r="F936" s="5" t="str">
        <f t="shared" ref="F936:F944" si="268">"男"</f>
        <v>男</v>
      </c>
      <c r="G936" s="5" t="str">
        <f>"1984-09-18"</f>
        <v>1984-09-18</v>
      </c>
      <c r="H936" s="5" t="str">
        <f>"琼州学院"</f>
        <v>琼州学院</v>
      </c>
    </row>
    <row r="937" s="2" customFormat="1" ht="20" customHeight="1" spans="1:8">
      <c r="A937" s="5">
        <v>935</v>
      </c>
      <c r="B937" s="5" t="str">
        <f>"223220191128153331216871"</f>
        <v>223220191128153331216871</v>
      </c>
      <c r="C937" s="5" t="s">
        <v>39</v>
      </c>
      <c r="D937" s="5" t="s">
        <v>40</v>
      </c>
      <c r="E937" s="5" t="str">
        <f>"许美丽"</f>
        <v>许美丽</v>
      </c>
      <c r="F937" s="5" t="str">
        <f>"女"</f>
        <v>女</v>
      </c>
      <c r="G937" s="5" t="str">
        <f>"1989-12-03"</f>
        <v>1989-12-03</v>
      </c>
      <c r="H937" s="5" t="str">
        <f>"海南大学"</f>
        <v>海南大学</v>
      </c>
    </row>
    <row r="938" s="2" customFormat="1" ht="20" customHeight="1" spans="1:8">
      <c r="A938" s="5">
        <v>936</v>
      </c>
      <c r="B938" s="5" t="str">
        <f>"223220191128155638216912"</f>
        <v>223220191128155638216912</v>
      </c>
      <c r="C938" s="5" t="s">
        <v>39</v>
      </c>
      <c r="D938" s="5" t="s">
        <v>40</v>
      </c>
      <c r="E938" s="5" t="str">
        <f>"叶思恩"</f>
        <v>叶思恩</v>
      </c>
      <c r="F938" s="5" t="str">
        <f t="shared" ref="F938:F944" si="269">"男"</f>
        <v>男</v>
      </c>
      <c r="G938" s="5" t="str">
        <f>"1998-03-30"</f>
        <v>1998-03-30</v>
      </c>
      <c r="H938" s="5" t="str">
        <f>"常州工程职业技术学院"</f>
        <v>常州工程职业技术学院</v>
      </c>
    </row>
    <row r="939" s="2" customFormat="1" ht="20" customHeight="1" spans="1:8">
      <c r="A939" s="5">
        <v>937</v>
      </c>
      <c r="B939" s="5" t="str">
        <f>"223220191128165540216987"</f>
        <v>223220191128165540216987</v>
      </c>
      <c r="C939" s="5" t="s">
        <v>39</v>
      </c>
      <c r="D939" s="5" t="s">
        <v>40</v>
      </c>
      <c r="E939" s="5" t="str">
        <f>"符彩霞"</f>
        <v>符彩霞</v>
      </c>
      <c r="F939" s="5" t="str">
        <f>"女"</f>
        <v>女</v>
      </c>
      <c r="G939" s="5" t="str">
        <f>"1998-02-18"</f>
        <v>1998-02-18</v>
      </c>
      <c r="H939" s="5" t="str">
        <f>"海口经济学院"</f>
        <v>海口经济学院</v>
      </c>
    </row>
    <row r="940" s="2" customFormat="1" ht="20" customHeight="1" spans="1:8">
      <c r="A940" s="5">
        <v>938</v>
      </c>
      <c r="B940" s="5" t="str">
        <f>"223220191128171658217006"</f>
        <v>223220191128171658217006</v>
      </c>
      <c r="C940" s="5" t="s">
        <v>39</v>
      </c>
      <c r="D940" s="5" t="s">
        <v>40</v>
      </c>
      <c r="E940" s="5" t="str">
        <f>"唐发敏"</f>
        <v>唐发敏</v>
      </c>
      <c r="F940" s="5" t="str">
        <f>"男"</f>
        <v>男</v>
      </c>
      <c r="G940" s="5" t="str">
        <f>"1992-10-18"</f>
        <v>1992-10-18</v>
      </c>
      <c r="H940" s="5" t="str">
        <f>"长春工业大学人文信息学院"</f>
        <v>长春工业大学人文信息学院</v>
      </c>
    </row>
    <row r="941" s="2" customFormat="1" ht="20" customHeight="1" spans="1:8">
      <c r="A941" s="5">
        <v>939</v>
      </c>
      <c r="B941" s="5" t="str">
        <f>"223220191128192459217097"</f>
        <v>223220191128192459217097</v>
      </c>
      <c r="C941" s="5" t="s">
        <v>39</v>
      </c>
      <c r="D941" s="5" t="s">
        <v>40</v>
      </c>
      <c r="E941" s="5" t="str">
        <f>"陈卓高"</f>
        <v>陈卓高</v>
      </c>
      <c r="F941" s="5" t="str">
        <f>"男"</f>
        <v>男</v>
      </c>
      <c r="G941" s="5" t="str">
        <f>"1991-07-13"</f>
        <v>1991-07-13</v>
      </c>
      <c r="H941" s="5" t="str">
        <f>"海南政法职业学院"</f>
        <v>海南政法职业学院</v>
      </c>
    </row>
    <row r="942" s="2" customFormat="1" ht="20" customHeight="1" spans="1:8">
      <c r="A942" s="5">
        <v>940</v>
      </c>
      <c r="B942" s="5" t="str">
        <f>"223220191128202504217143"</f>
        <v>223220191128202504217143</v>
      </c>
      <c r="C942" s="5" t="s">
        <v>39</v>
      </c>
      <c r="D942" s="5" t="s">
        <v>40</v>
      </c>
      <c r="E942" s="5" t="str">
        <f>"卢传学"</f>
        <v>卢传学</v>
      </c>
      <c r="F942" s="5" t="str">
        <f>"男"</f>
        <v>男</v>
      </c>
      <c r="G942" s="5" t="str">
        <f>"1997-11-21"</f>
        <v>1997-11-21</v>
      </c>
      <c r="H942" s="5" t="str">
        <f>"海南热带海洋学院"</f>
        <v>海南热带海洋学院</v>
      </c>
    </row>
    <row r="943" s="2" customFormat="1" ht="20" customHeight="1" spans="1:8">
      <c r="A943" s="5">
        <v>941</v>
      </c>
      <c r="B943" s="5" t="str">
        <f>"223220191128203031217147"</f>
        <v>223220191128203031217147</v>
      </c>
      <c r="C943" s="5" t="s">
        <v>39</v>
      </c>
      <c r="D943" s="5" t="s">
        <v>40</v>
      </c>
      <c r="E943" s="5" t="str">
        <f>"符华明"</f>
        <v>符华明</v>
      </c>
      <c r="F943" s="5" t="str">
        <f>"男"</f>
        <v>男</v>
      </c>
      <c r="G943" s="5" t="str">
        <f>"1995-08-21"</f>
        <v>1995-08-21</v>
      </c>
      <c r="H943" s="5" t="str">
        <f>"海南科技职业学院"</f>
        <v>海南科技职业学院</v>
      </c>
    </row>
    <row r="944" s="2" customFormat="1" ht="20" customHeight="1" spans="1:8">
      <c r="A944" s="5">
        <v>942</v>
      </c>
      <c r="B944" s="5" t="str">
        <f>"223220191128203914217156"</f>
        <v>223220191128203914217156</v>
      </c>
      <c r="C944" s="5" t="s">
        <v>39</v>
      </c>
      <c r="D944" s="5" t="s">
        <v>40</v>
      </c>
      <c r="E944" s="5" t="str">
        <f>"吕帅"</f>
        <v>吕帅</v>
      </c>
      <c r="F944" s="5" t="str">
        <f>"男"</f>
        <v>男</v>
      </c>
      <c r="G944" s="5" t="str">
        <f>"1992-03-15"</f>
        <v>1992-03-15</v>
      </c>
      <c r="H944" s="5" t="str">
        <f>"大连理工大学"</f>
        <v>大连理工大学</v>
      </c>
    </row>
    <row r="945" s="2" customFormat="1" ht="20" customHeight="1" spans="1:8">
      <c r="A945" s="5">
        <v>943</v>
      </c>
      <c r="B945" s="5" t="str">
        <f>"223220191128210810217179"</f>
        <v>223220191128210810217179</v>
      </c>
      <c r="C945" s="5" t="s">
        <v>39</v>
      </c>
      <c r="D945" s="5" t="s">
        <v>40</v>
      </c>
      <c r="E945" s="5" t="str">
        <f>"蔡堂妹"</f>
        <v>蔡堂妹</v>
      </c>
      <c r="F945" s="5" t="str">
        <f t="shared" ref="F945:F949" si="270">"女"</f>
        <v>女</v>
      </c>
      <c r="G945" s="5" t="str">
        <f>"1993-09-03"</f>
        <v>1993-09-03</v>
      </c>
      <c r="H945" s="5" t="str">
        <f>"吉林省长春市长春光华学院"</f>
        <v>吉林省长春市长春光华学院</v>
      </c>
    </row>
    <row r="946" s="2" customFormat="1" ht="20" customHeight="1" spans="1:8">
      <c r="A946" s="5">
        <v>944</v>
      </c>
      <c r="B946" s="5" t="str">
        <f>"223220191128213735217203"</f>
        <v>223220191128213735217203</v>
      </c>
      <c r="C946" s="5" t="s">
        <v>39</v>
      </c>
      <c r="D946" s="5" t="s">
        <v>40</v>
      </c>
      <c r="E946" s="5" t="str">
        <f>"李志远"</f>
        <v>李志远</v>
      </c>
      <c r="F946" s="5" t="str">
        <f t="shared" ref="F946:F950" si="271">"男"</f>
        <v>男</v>
      </c>
      <c r="G946" s="5" t="str">
        <f>"1995-11-05"</f>
        <v>1995-11-05</v>
      </c>
      <c r="H946" s="5" t="str">
        <f>"中南财经政法大学武汉学院"</f>
        <v>中南财经政法大学武汉学院</v>
      </c>
    </row>
    <row r="947" s="2" customFormat="1" ht="20" customHeight="1" spans="1:8">
      <c r="A947" s="5">
        <v>945</v>
      </c>
      <c r="B947" s="5" t="str">
        <f>"223220191128231107217264"</f>
        <v>223220191128231107217264</v>
      </c>
      <c r="C947" s="5" t="s">
        <v>39</v>
      </c>
      <c r="D947" s="5" t="s">
        <v>40</v>
      </c>
      <c r="E947" s="5" t="str">
        <f>"陈石女"</f>
        <v>陈石女</v>
      </c>
      <c r="F947" s="5" t="str">
        <f>"女"</f>
        <v>女</v>
      </c>
      <c r="G947" s="5" t="str">
        <f>"1995-05-11"</f>
        <v>1995-05-11</v>
      </c>
      <c r="H947" s="5" t="str">
        <f>"江西省萍乡学院"</f>
        <v>江西省萍乡学院</v>
      </c>
    </row>
    <row r="948" s="2" customFormat="1" ht="20" customHeight="1" spans="1:8">
      <c r="A948" s="5">
        <v>946</v>
      </c>
      <c r="B948" s="5" t="str">
        <f>"223220191129084538217326"</f>
        <v>223220191129084538217326</v>
      </c>
      <c r="C948" s="5" t="s">
        <v>39</v>
      </c>
      <c r="D948" s="5" t="s">
        <v>40</v>
      </c>
      <c r="E948" s="5" t="str">
        <f>"李中义"</f>
        <v>李中义</v>
      </c>
      <c r="F948" s="5" t="str">
        <f>"男"</f>
        <v>男</v>
      </c>
      <c r="G948" s="5" t="str">
        <f>"1996-08-18"</f>
        <v>1996-08-18</v>
      </c>
      <c r="H948" s="5" t="str">
        <f>"齐齐哈尔大学"</f>
        <v>齐齐哈尔大学</v>
      </c>
    </row>
    <row r="949" s="2" customFormat="1" ht="20" customHeight="1" spans="1:8">
      <c r="A949" s="5">
        <v>947</v>
      </c>
      <c r="B949" s="5" t="str">
        <f>"223220191129100146217388"</f>
        <v>223220191129100146217388</v>
      </c>
      <c r="C949" s="5" t="s">
        <v>39</v>
      </c>
      <c r="D949" s="5" t="s">
        <v>40</v>
      </c>
      <c r="E949" s="5" t="str">
        <f>"王金娜"</f>
        <v>王金娜</v>
      </c>
      <c r="F949" s="5" t="str">
        <f>"女"</f>
        <v>女</v>
      </c>
      <c r="G949" s="5" t="str">
        <f>"1991-12-03"</f>
        <v>1991-12-03</v>
      </c>
      <c r="H949" s="5" t="str">
        <f>"琼州学院"</f>
        <v>琼州学院</v>
      </c>
    </row>
    <row r="950" s="2" customFormat="1" ht="20" customHeight="1" spans="1:8">
      <c r="A950" s="5">
        <v>948</v>
      </c>
      <c r="B950" s="5" t="str">
        <f>"223220191129102814217406"</f>
        <v>223220191129102814217406</v>
      </c>
      <c r="C950" s="5" t="s">
        <v>39</v>
      </c>
      <c r="D950" s="5" t="s">
        <v>40</v>
      </c>
      <c r="E950" s="5" t="str">
        <f>"刘志森"</f>
        <v>刘志森</v>
      </c>
      <c r="F950" s="5" t="str">
        <f>"男"</f>
        <v>男</v>
      </c>
      <c r="G950" s="5" t="str">
        <f>"1985-09-13"</f>
        <v>1985-09-13</v>
      </c>
      <c r="H950" s="5" t="str">
        <f>"海南省师范大学教育学院"</f>
        <v>海南省师范大学教育学院</v>
      </c>
    </row>
    <row r="951" s="2" customFormat="1" ht="20" customHeight="1" spans="1:8">
      <c r="A951" s="5">
        <v>949</v>
      </c>
      <c r="B951" s="5" t="str">
        <f>"223220191129103328217413"</f>
        <v>223220191129103328217413</v>
      </c>
      <c r="C951" s="5" t="s">
        <v>39</v>
      </c>
      <c r="D951" s="5" t="s">
        <v>40</v>
      </c>
      <c r="E951" s="5" t="str">
        <f>"周伟兰"</f>
        <v>周伟兰</v>
      </c>
      <c r="F951" s="5" t="str">
        <f t="shared" ref="F951:F956" si="272">"女"</f>
        <v>女</v>
      </c>
      <c r="G951" s="5" t="str">
        <f>"1990-08-15"</f>
        <v>1990-08-15</v>
      </c>
      <c r="H951" s="5" t="str">
        <f>"琼州学院"</f>
        <v>琼州学院</v>
      </c>
    </row>
    <row r="952" s="2" customFormat="1" ht="20" customHeight="1" spans="1:8">
      <c r="A952" s="5">
        <v>950</v>
      </c>
      <c r="B952" s="5" t="str">
        <f>"223220191129104259217423"</f>
        <v>223220191129104259217423</v>
      </c>
      <c r="C952" s="5" t="s">
        <v>39</v>
      </c>
      <c r="D952" s="5" t="s">
        <v>40</v>
      </c>
      <c r="E952" s="5" t="str">
        <f>"王永辉"</f>
        <v>王永辉</v>
      </c>
      <c r="F952" s="5" t="str">
        <f t="shared" ref="F952:F958" si="273">"男"</f>
        <v>男</v>
      </c>
      <c r="G952" s="5" t="str">
        <f>"1987-02-16"</f>
        <v>1987-02-16</v>
      </c>
      <c r="H952" s="5" t="str">
        <f>"武汉商务服务学院"</f>
        <v>武汉商务服务学院</v>
      </c>
    </row>
    <row r="953" s="2" customFormat="1" ht="20" customHeight="1" spans="1:8">
      <c r="A953" s="5">
        <v>951</v>
      </c>
      <c r="B953" s="5" t="str">
        <f>"223220191129110101217438"</f>
        <v>223220191129110101217438</v>
      </c>
      <c r="C953" s="5" t="s">
        <v>39</v>
      </c>
      <c r="D953" s="5" t="s">
        <v>40</v>
      </c>
      <c r="E953" s="5" t="str">
        <f>"羊江华"</f>
        <v>羊江华</v>
      </c>
      <c r="F953" s="5" t="str">
        <f t="shared" si="273"/>
        <v>男</v>
      </c>
      <c r="G953" s="5" t="str">
        <f>"1998-10-15"</f>
        <v>1998-10-15</v>
      </c>
      <c r="H953" s="5" t="str">
        <f>"海南大学"</f>
        <v>海南大学</v>
      </c>
    </row>
    <row r="954" s="2" customFormat="1" ht="20" customHeight="1" spans="1:8">
      <c r="A954" s="5">
        <v>952</v>
      </c>
      <c r="B954" s="5" t="str">
        <f>"223220191129112035217454"</f>
        <v>223220191129112035217454</v>
      </c>
      <c r="C954" s="5" t="s">
        <v>39</v>
      </c>
      <c r="D954" s="5" t="s">
        <v>40</v>
      </c>
      <c r="E954" s="5" t="str">
        <f>"杨姑梅"</f>
        <v>杨姑梅</v>
      </c>
      <c r="F954" s="5" t="str">
        <f t="shared" ref="F954:F956" si="274">"女"</f>
        <v>女</v>
      </c>
      <c r="G954" s="5" t="str">
        <f>"1992-08-25"</f>
        <v>1992-08-25</v>
      </c>
      <c r="H954" s="5" t="str">
        <f>"海南职业技术学院"</f>
        <v>海南职业技术学院</v>
      </c>
    </row>
    <row r="955" s="2" customFormat="1" ht="20" customHeight="1" spans="1:8">
      <c r="A955" s="5">
        <v>953</v>
      </c>
      <c r="B955" s="5" t="str">
        <f>"223220191129161723217644"</f>
        <v>223220191129161723217644</v>
      </c>
      <c r="C955" s="5" t="s">
        <v>39</v>
      </c>
      <c r="D955" s="5" t="s">
        <v>40</v>
      </c>
      <c r="E955" s="5" t="str">
        <f>"谢庆梅"</f>
        <v>谢庆梅</v>
      </c>
      <c r="F955" s="5" t="str">
        <f t="shared" si="274"/>
        <v>女</v>
      </c>
      <c r="G955" s="5" t="str">
        <f>"1996-04-06"</f>
        <v>1996-04-06</v>
      </c>
      <c r="H955" s="5" t="str">
        <f>"广西外国语学院"</f>
        <v>广西外国语学院</v>
      </c>
    </row>
    <row r="956" s="2" customFormat="1" ht="20" customHeight="1" spans="1:8">
      <c r="A956" s="5">
        <v>954</v>
      </c>
      <c r="B956" s="5" t="str">
        <f>"223220191129201614217781"</f>
        <v>223220191129201614217781</v>
      </c>
      <c r="C956" s="5" t="s">
        <v>39</v>
      </c>
      <c r="D956" s="5" t="s">
        <v>40</v>
      </c>
      <c r="E956" s="5" t="str">
        <f>"蒲玲芸"</f>
        <v>蒲玲芸</v>
      </c>
      <c r="F956" s="5" t="str">
        <f t="shared" si="274"/>
        <v>女</v>
      </c>
      <c r="G956" s="5" t="str">
        <f>"1995-09-16"</f>
        <v>1995-09-16</v>
      </c>
      <c r="H956" s="5" t="str">
        <f>"海南经贸职业技术学院"</f>
        <v>海南经贸职业技术学院</v>
      </c>
    </row>
    <row r="957" s="2" customFormat="1" ht="20" customHeight="1" spans="1:8">
      <c r="A957" s="5">
        <v>955</v>
      </c>
      <c r="B957" s="5" t="str">
        <f>"223220191129203750217792"</f>
        <v>223220191129203750217792</v>
      </c>
      <c r="C957" s="5" t="s">
        <v>39</v>
      </c>
      <c r="D957" s="5" t="s">
        <v>40</v>
      </c>
      <c r="E957" s="5" t="str">
        <f>"许绩伟"</f>
        <v>许绩伟</v>
      </c>
      <c r="F957" s="5" t="str">
        <f>"男"</f>
        <v>男</v>
      </c>
      <c r="G957" s="5" t="str">
        <f>"1987-12-18"</f>
        <v>1987-12-18</v>
      </c>
      <c r="H957" s="5" t="str">
        <f>"石家庄经济学院"</f>
        <v>石家庄经济学院</v>
      </c>
    </row>
    <row r="958" s="2" customFormat="1" ht="20" customHeight="1" spans="1:8">
      <c r="A958" s="5">
        <v>956</v>
      </c>
      <c r="B958" s="5" t="str">
        <f>"223220191130064701217903"</f>
        <v>223220191130064701217903</v>
      </c>
      <c r="C958" s="5" t="s">
        <v>39</v>
      </c>
      <c r="D958" s="5" t="s">
        <v>40</v>
      </c>
      <c r="E958" s="5" t="str">
        <f>"钟育红"</f>
        <v>钟育红</v>
      </c>
      <c r="F958" s="5" t="str">
        <f>"男"</f>
        <v>男</v>
      </c>
      <c r="G958" s="5" t="str">
        <f>"1987-09-20"</f>
        <v>1987-09-20</v>
      </c>
      <c r="H958" s="5" t="str">
        <f>"广西机电职业技术学院"</f>
        <v>广西机电职业技术学院</v>
      </c>
    </row>
    <row r="959" s="2" customFormat="1" ht="20" customHeight="1" spans="1:8">
      <c r="A959" s="5">
        <v>957</v>
      </c>
      <c r="B959" s="5" t="str">
        <f>"223220191130080016217906"</f>
        <v>223220191130080016217906</v>
      </c>
      <c r="C959" s="5" t="s">
        <v>39</v>
      </c>
      <c r="D959" s="5" t="s">
        <v>40</v>
      </c>
      <c r="E959" s="5" t="str">
        <f>"谢华美"</f>
        <v>谢华美</v>
      </c>
      <c r="F959" s="5" t="str">
        <f t="shared" ref="F959:F961" si="275">"女"</f>
        <v>女</v>
      </c>
      <c r="G959" s="5" t="str">
        <f>"1987-10-27"</f>
        <v>1987-10-27</v>
      </c>
      <c r="H959" s="5" t="str">
        <f>"河北科技师范学院"</f>
        <v>河北科技师范学院</v>
      </c>
    </row>
    <row r="960" s="2" customFormat="1" ht="20" customHeight="1" spans="1:8">
      <c r="A960" s="5">
        <v>958</v>
      </c>
      <c r="B960" s="5" t="str">
        <f>"223220191123081330209963"</f>
        <v>223220191123081330209963</v>
      </c>
      <c r="C960" s="5" t="s">
        <v>41</v>
      </c>
      <c r="D960" s="5" t="s">
        <v>42</v>
      </c>
      <c r="E960" s="5" t="str">
        <f>"羊科丽"</f>
        <v>羊科丽</v>
      </c>
      <c r="F960" s="5" t="str">
        <f t="shared" si="275"/>
        <v>女</v>
      </c>
      <c r="G960" s="5" t="str">
        <f>"1995-10-05"</f>
        <v>1995-10-05</v>
      </c>
      <c r="H960" s="5" t="str">
        <f>"云南师范大学文理学院"</f>
        <v>云南师范大学文理学院</v>
      </c>
    </row>
    <row r="961" s="2" customFormat="1" ht="20" customHeight="1" spans="1:8">
      <c r="A961" s="5">
        <v>959</v>
      </c>
      <c r="B961" s="5" t="str">
        <f>"223220191123083216209970"</f>
        <v>223220191123083216209970</v>
      </c>
      <c r="C961" s="5" t="s">
        <v>41</v>
      </c>
      <c r="D961" s="5" t="s">
        <v>42</v>
      </c>
      <c r="E961" s="5" t="str">
        <f>"王月"</f>
        <v>王月</v>
      </c>
      <c r="F961" s="5" t="str">
        <f t="shared" si="275"/>
        <v>女</v>
      </c>
      <c r="G961" s="5" t="str">
        <f>"1995-01-05"</f>
        <v>1995-01-05</v>
      </c>
      <c r="H961" s="5" t="str">
        <f>"海口经济学院"</f>
        <v>海口经济学院</v>
      </c>
    </row>
    <row r="962" s="2" customFormat="1" ht="20" customHeight="1" spans="1:8">
      <c r="A962" s="5">
        <v>960</v>
      </c>
      <c r="B962" s="5" t="str">
        <f>"223220191123094539210039"</f>
        <v>223220191123094539210039</v>
      </c>
      <c r="C962" s="5" t="s">
        <v>41</v>
      </c>
      <c r="D962" s="5" t="s">
        <v>42</v>
      </c>
      <c r="E962" s="5" t="str">
        <f>"李茂政"</f>
        <v>李茂政</v>
      </c>
      <c r="F962" s="5" t="str">
        <f t="shared" ref="F962:F968" si="276">"男"</f>
        <v>男</v>
      </c>
      <c r="G962" s="5" t="str">
        <f>"1993-05-07"</f>
        <v>1993-05-07</v>
      </c>
      <c r="H962" s="5" t="str">
        <f>"重庆工商职业学院"</f>
        <v>重庆工商职业学院</v>
      </c>
    </row>
    <row r="963" s="2" customFormat="1" ht="20" customHeight="1" spans="1:8">
      <c r="A963" s="5">
        <v>961</v>
      </c>
      <c r="B963" s="5" t="str">
        <f>"223220191123094837210043"</f>
        <v>223220191123094837210043</v>
      </c>
      <c r="C963" s="5" t="s">
        <v>41</v>
      </c>
      <c r="D963" s="5" t="s">
        <v>42</v>
      </c>
      <c r="E963" s="5" t="str">
        <f>"王博"</f>
        <v>王博</v>
      </c>
      <c r="F963" s="5" t="str">
        <f t="shared" si="276"/>
        <v>男</v>
      </c>
      <c r="G963" s="5" t="str">
        <f>"1986-12-05"</f>
        <v>1986-12-05</v>
      </c>
      <c r="H963" s="5" t="str">
        <f>"海南琼州学院"</f>
        <v>海南琼州学院</v>
      </c>
    </row>
    <row r="964" s="2" customFormat="1" ht="20" customHeight="1" spans="1:8">
      <c r="A964" s="5">
        <v>962</v>
      </c>
      <c r="B964" s="5" t="str">
        <f>"223220191123103222210117"</f>
        <v>223220191123103222210117</v>
      </c>
      <c r="C964" s="5" t="s">
        <v>41</v>
      </c>
      <c r="D964" s="5" t="s">
        <v>42</v>
      </c>
      <c r="E964" s="5" t="str">
        <f>"邓秀金"</f>
        <v>邓秀金</v>
      </c>
      <c r="F964" s="5" t="str">
        <f t="shared" si="276"/>
        <v>男</v>
      </c>
      <c r="G964" s="5" t="str">
        <f>"1991-05-02"</f>
        <v>1991-05-02</v>
      </c>
      <c r="H964" s="5" t="str">
        <f>"海南政法职业学院"</f>
        <v>海南政法职业学院</v>
      </c>
    </row>
    <row r="965" s="2" customFormat="1" ht="20" customHeight="1" spans="1:8">
      <c r="A965" s="5">
        <v>963</v>
      </c>
      <c r="B965" s="5" t="str">
        <f>"223220191123103324210119"</f>
        <v>223220191123103324210119</v>
      </c>
      <c r="C965" s="5" t="s">
        <v>41</v>
      </c>
      <c r="D965" s="5" t="s">
        <v>42</v>
      </c>
      <c r="E965" s="5" t="str">
        <f>"陈武兵"</f>
        <v>陈武兵</v>
      </c>
      <c r="F965" s="5" t="str">
        <f t="shared" si="276"/>
        <v>男</v>
      </c>
      <c r="G965" s="5" t="str">
        <f>"1993-11-16"</f>
        <v>1993-11-16</v>
      </c>
      <c r="H965" s="5" t="str">
        <f>"广西理工职业技术学院"</f>
        <v>广西理工职业技术学院</v>
      </c>
    </row>
    <row r="966" s="2" customFormat="1" ht="20" customHeight="1" spans="1:8">
      <c r="A966" s="5">
        <v>964</v>
      </c>
      <c r="B966" s="5" t="str">
        <f>"223220191123114640210205"</f>
        <v>223220191123114640210205</v>
      </c>
      <c r="C966" s="5" t="s">
        <v>41</v>
      </c>
      <c r="D966" s="5" t="s">
        <v>42</v>
      </c>
      <c r="E966" s="5" t="str">
        <f>"吴家纲"</f>
        <v>吴家纲</v>
      </c>
      <c r="F966" s="5" t="str">
        <f t="shared" si="276"/>
        <v>男</v>
      </c>
      <c r="G966" s="5" t="str">
        <f>"1992-12-11"</f>
        <v>1992-12-11</v>
      </c>
      <c r="H966" s="5" t="str">
        <f>"武汉大学继续教育学院"</f>
        <v>武汉大学继续教育学院</v>
      </c>
    </row>
    <row r="967" s="2" customFormat="1" ht="20" customHeight="1" spans="1:8">
      <c r="A967" s="5">
        <v>965</v>
      </c>
      <c r="B967" s="5" t="str">
        <f>"223220191123114745210209"</f>
        <v>223220191123114745210209</v>
      </c>
      <c r="C967" s="5" t="s">
        <v>41</v>
      </c>
      <c r="D967" s="5" t="s">
        <v>42</v>
      </c>
      <c r="E967" s="5" t="str">
        <f>"刘泽洋"</f>
        <v>刘泽洋</v>
      </c>
      <c r="F967" s="5" t="str">
        <f t="shared" si="276"/>
        <v>男</v>
      </c>
      <c r="G967" s="5" t="str">
        <f>"1997-09-12"</f>
        <v>1997-09-12</v>
      </c>
      <c r="H967" s="5" t="str">
        <f>"天津科技大学"</f>
        <v>天津科技大学</v>
      </c>
    </row>
    <row r="968" s="2" customFormat="1" ht="20" customHeight="1" spans="1:8">
      <c r="A968" s="5">
        <v>966</v>
      </c>
      <c r="B968" s="5" t="str">
        <f>"223220191123115038210214"</f>
        <v>223220191123115038210214</v>
      </c>
      <c r="C968" s="5" t="s">
        <v>41</v>
      </c>
      <c r="D968" s="5" t="s">
        <v>42</v>
      </c>
      <c r="E968" s="5" t="str">
        <f>"李永鹏"</f>
        <v>李永鹏</v>
      </c>
      <c r="F968" s="5" t="str">
        <f t="shared" si="276"/>
        <v>男</v>
      </c>
      <c r="G968" s="5" t="str">
        <f>"1994-03-08"</f>
        <v>1994-03-08</v>
      </c>
      <c r="H968" s="5" t="str">
        <f>"安徽阜阳师范学院"</f>
        <v>安徽阜阳师范学院</v>
      </c>
    </row>
    <row r="969" s="2" customFormat="1" ht="20" customHeight="1" spans="1:8">
      <c r="A969" s="5">
        <v>967</v>
      </c>
      <c r="B969" s="5" t="str">
        <f>"223220191123121324210240"</f>
        <v>223220191123121324210240</v>
      </c>
      <c r="C969" s="5" t="s">
        <v>41</v>
      </c>
      <c r="D969" s="5" t="s">
        <v>42</v>
      </c>
      <c r="E969" s="5" t="str">
        <f>"王二教"</f>
        <v>王二教</v>
      </c>
      <c r="F969" s="5" t="str">
        <f t="shared" ref="F969:F971" si="277">"女"</f>
        <v>女</v>
      </c>
      <c r="G969" s="5" t="str">
        <f>"1996-10-16"</f>
        <v>1996-10-16</v>
      </c>
      <c r="H969" s="5" t="str">
        <f>"海南大学"</f>
        <v>海南大学</v>
      </c>
    </row>
    <row r="970" s="2" customFormat="1" ht="20" customHeight="1" spans="1:8">
      <c r="A970" s="5">
        <v>968</v>
      </c>
      <c r="B970" s="5" t="str">
        <f>"223220191123124801210278"</f>
        <v>223220191123124801210278</v>
      </c>
      <c r="C970" s="5" t="s">
        <v>41</v>
      </c>
      <c r="D970" s="5" t="s">
        <v>42</v>
      </c>
      <c r="E970" s="5" t="str">
        <f>"陈二联"</f>
        <v>陈二联</v>
      </c>
      <c r="F970" s="5" t="str">
        <f t="shared" si="277"/>
        <v>女</v>
      </c>
      <c r="G970" s="5" t="str">
        <f>"1990-05-03"</f>
        <v>1990-05-03</v>
      </c>
      <c r="H970" s="5" t="str">
        <f>"海口经济学院"</f>
        <v>海口经济学院</v>
      </c>
    </row>
    <row r="971" s="2" customFormat="1" ht="20" customHeight="1" spans="1:8">
      <c r="A971" s="5">
        <v>969</v>
      </c>
      <c r="B971" s="5" t="str">
        <f>"223220191123125317210283"</f>
        <v>223220191123125317210283</v>
      </c>
      <c r="C971" s="5" t="s">
        <v>41</v>
      </c>
      <c r="D971" s="5" t="s">
        <v>42</v>
      </c>
      <c r="E971" s="5" t="str">
        <f>"王霄豪"</f>
        <v>王霄豪</v>
      </c>
      <c r="F971" s="5" t="str">
        <f t="shared" si="277"/>
        <v>女</v>
      </c>
      <c r="G971" s="5" t="str">
        <f>"1995-10-05"</f>
        <v>1995-10-05</v>
      </c>
      <c r="H971" s="5" t="str">
        <f>"海南医学院"</f>
        <v>海南医学院</v>
      </c>
    </row>
    <row r="972" s="2" customFormat="1" ht="20" customHeight="1" spans="1:8">
      <c r="A972" s="5">
        <v>970</v>
      </c>
      <c r="B972" s="5" t="str">
        <f>"223220191123125417210284"</f>
        <v>223220191123125417210284</v>
      </c>
      <c r="C972" s="5" t="s">
        <v>41</v>
      </c>
      <c r="D972" s="5" t="s">
        <v>42</v>
      </c>
      <c r="E972" s="5" t="str">
        <f>"李江南"</f>
        <v>李江南</v>
      </c>
      <c r="F972" s="5" t="str">
        <f t="shared" ref="F972:F979" si="278">"男"</f>
        <v>男</v>
      </c>
      <c r="G972" s="5" t="str">
        <f>"1985-12-05"</f>
        <v>1985-12-05</v>
      </c>
      <c r="H972" s="5" t="str">
        <f>"河南开封大学"</f>
        <v>河南开封大学</v>
      </c>
    </row>
    <row r="973" s="2" customFormat="1" ht="20" customHeight="1" spans="1:8">
      <c r="A973" s="5">
        <v>971</v>
      </c>
      <c r="B973" s="5" t="str">
        <f>"223220191123125436210285"</f>
        <v>223220191123125436210285</v>
      </c>
      <c r="C973" s="5" t="s">
        <v>41</v>
      </c>
      <c r="D973" s="5" t="s">
        <v>42</v>
      </c>
      <c r="E973" s="5" t="str">
        <f>"林克彬"</f>
        <v>林克彬</v>
      </c>
      <c r="F973" s="5" t="str">
        <f t="shared" si="278"/>
        <v>男</v>
      </c>
      <c r="G973" s="5" t="str">
        <f>"1995-05-31"</f>
        <v>1995-05-31</v>
      </c>
      <c r="H973" s="5" t="str">
        <f>"辽宁财贸学院"</f>
        <v>辽宁财贸学院</v>
      </c>
    </row>
    <row r="974" s="2" customFormat="1" ht="20" customHeight="1" spans="1:8">
      <c r="A974" s="5">
        <v>972</v>
      </c>
      <c r="B974" s="5" t="str">
        <f>"223220191123132243210307"</f>
        <v>223220191123132243210307</v>
      </c>
      <c r="C974" s="5" t="s">
        <v>41</v>
      </c>
      <c r="D974" s="5" t="s">
        <v>42</v>
      </c>
      <c r="E974" s="5" t="str">
        <f>"李进恺"</f>
        <v>李进恺</v>
      </c>
      <c r="F974" s="5" t="str">
        <f t="shared" si="278"/>
        <v>男</v>
      </c>
      <c r="G974" s="5" t="str">
        <f>"1991-12-16"</f>
        <v>1991-12-16</v>
      </c>
      <c r="H974" s="5" t="str">
        <f>"广西城市职业学院"</f>
        <v>广西城市职业学院</v>
      </c>
    </row>
    <row r="975" s="2" customFormat="1" ht="20" customHeight="1" spans="1:8">
      <c r="A975" s="5">
        <v>973</v>
      </c>
      <c r="B975" s="5" t="str">
        <f>"223220191123151045210385"</f>
        <v>223220191123151045210385</v>
      </c>
      <c r="C975" s="5" t="s">
        <v>41</v>
      </c>
      <c r="D975" s="5" t="s">
        <v>42</v>
      </c>
      <c r="E975" s="5" t="str">
        <f>"符许讯"</f>
        <v>符许讯</v>
      </c>
      <c r="F975" s="5" t="str">
        <f t="shared" si="278"/>
        <v>男</v>
      </c>
      <c r="G975" s="5" t="str">
        <f>"1992-10-11"</f>
        <v>1992-10-11</v>
      </c>
      <c r="H975" s="5" t="str">
        <f>"河北北方学院"</f>
        <v>河北北方学院</v>
      </c>
    </row>
    <row r="976" s="2" customFormat="1" ht="20" customHeight="1" spans="1:8">
      <c r="A976" s="5">
        <v>974</v>
      </c>
      <c r="B976" s="5" t="str">
        <f>"223220191123161524210430"</f>
        <v>223220191123161524210430</v>
      </c>
      <c r="C976" s="5" t="s">
        <v>41</v>
      </c>
      <c r="D976" s="5" t="s">
        <v>42</v>
      </c>
      <c r="E976" s="5" t="str">
        <f>"符万城"</f>
        <v>符万城</v>
      </c>
      <c r="F976" s="5" t="str">
        <f t="shared" si="278"/>
        <v>男</v>
      </c>
      <c r="G976" s="5" t="str">
        <f>"1989-08-03"</f>
        <v>1989-08-03</v>
      </c>
      <c r="H976" s="5" t="str">
        <f>"梧州学院"</f>
        <v>梧州学院</v>
      </c>
    </row>
    <row r="977" s="2" customFormat="1" ht="20" customHeight="1" spans="1:8">
      <c r="A977" s="5">
        <v>975</v>
      </c>
      <c r="B977" s="5" t="str">
        <f>"223220191123171320210469"</f>
        <v>223220191123171320210469</v>
      </c>
      <c r="C977" s="5" t="s">
        <v>41</v>
      </c>
      <c r="D977" s="5" t="s">
        <v>42</v>
      </c>
      <c r="E977" s="5" t="str">
        <f>"王而百"</f>
        <v>王而百</v>
      </c>
      <c r="F977" s="5" t="str">
        <f t="shared" si="278"/>
        <v>男</v>
      </c>
      <c r="G977" s="5" t="str">
        <f>"1997-03-29"</f>
        <v>1997-03-29</v>
      </c>
      <c r="H977" s="5" t="str">
        <f>"海南科技职业学院"</f>
        <v>海南科技职业学院</v>
      </c>
    </row>
    <row r="978" s="2" customFormat="1" ht="20" customHeight="1" spans="1:8">
      <c r="A978" s="5">
        <v>976</v>
      </c>
      <c r="B978" s="5" t="str">
        <f>"223220191123181105210517"</f>
        <v>223220191123181105210517</v>
      </c>
      <c r="C978" s="5" t="s">
        <v>41</v>
      </c>
      <c r="D978" s="5" t="s">
        <v>42</v>
      </c>
      <c r="E978" s="5" t="str">
        <f>"黎江"</f>
        <v>黎江</v>
      </c>
      <c r="F978" s="5" t="str">
        <f t="shared" si="278"/>
        <v>男</v>
      </c>
      <c r="G978" s="5" t="str">
        <f>"1994-10-30"</f>
        <v>1994-10-30</v>
      </c>
      <c r="H978" s="5" t="str">
        <f>"天津农学院"</f>
        <v>天津农学院</v>
      </c>
    </row>
    <row r="979" s="2" customFormat="1" ht="20" customHeight="1" spans="1:8">
      <c r="A979" s="5">
        <v>977</v>
      </c>
      <c r="B979" s="5" t="str">
        <f>"223220191123182231210529"</f>
        <v>223220191123182231210529</v>
      </c>
      <c r="C979" s="5" t="s">
        <v>41</v>
      </c>
      <c r="D979" s="5" t="s">
        <v>42</v>
      </c>
      <c r="E979" s="5" t="str">
        <f>"王伟旭"</f>
        <v>王伟旭</v>
      </c>
      <c r="F979" s="5" t="str">
        <f t="shared" si="278"/>
        <v>男</v>
      </c>
      <c r="G979" s="5" t="str">
        <f>"1992-03-06"</f>
        <v>1992-03-06</v>
      </c>
      <c r="H979" s="5" t="str">
        <f>"贵州大学科技学院"</f>
        <v>贵州大学科技学院</v>
      </c>
    </row>
    <row r="980" s="2" customFormat="1" ht="20" customHeight="1" spans="1:8">
      <c r="A980" s="5">
        <v>978</v>
      </c>
      <c r="B980" s="5" t="str">
        <f>"223220191123230631210726"</f>
        <v>223220191123230631210726</v>
      </c>
      <c r="C980" s="5" t="s">
        <v>41</v>
      </c>
      <c r="D980" s="5" t="s">
        <v>42</v>
      </c>
      <c r="E980" s="5" t="str">
        <f>"李爱熊"</f>
        <v>李爱熊</v>
      </c>
      <c r="F980" s="5" t="str">
        <f>"女"</f>
        <v>女</v>
      </c>
      <c r="G980" s="5" t="str">
        <f>"1995-02-01"</f>
        <v>1995-02-01</v>
      </c>
      <c r="H980" s="5" t="str">
        <f>"海南科技职业学院"</f>
        <v>海南科技职业学院</v>
      </c>
    </row>
    <row r="981" s="2" customFormat="1" ht="20" customHeight="1" spans="1:8">
      <c r="A981" s="5">
        <v>979</v>
      </c>
      <c r="B981" s="5" t="str">
        <f>"223220191124091158210789"</f>
        <v>223220191124091158210789</v>
      </c>
      <c r="C981" s="5" t="s">
        <v>41</v>
      </c>
      <c r="D981" s="5" t="s">
        <v>42</v>
      </c>
      <c r="E981" s="5" t="str">
        <f>"符邓萍"</f>
        <v>符邓萍</v>
      </c>
      <c r="F981" s="5" t="str">
        <f>"女"</f>
        <v>女</v>
      </c>
      <c r="G981" s="5" t="str">
        <f>"1994-10-05"</f>
        <v>1994-10-05</v>
      </c>
      <c r="H981" s="5" t="str">
        <f>"云南大学旅游文化学院"</f>
        <v>云南大学旅游文化学院</v>
      </c>
    </row>
    <row r="982" s="2" customFormat="1" ht="20" customHeight="1" spans="1:8">
      <c r="A982" s="5">
        <v>980</v>
      </c>
      <c r="B982" s="5" t="str">
        <f>"223220191124100840210819"</f>
        <v>223220191124100840210819</v>
      </c>
      <c r="C982" s="5" t="s">
        <v>41</v>
      </c>
      <c r="D982" s="5" t="s">
        <v>42</v>
      </c>
      <c r="E982" s="5" t="str">
        <f>"李应驹"</f>
        <v>李应驹</v>
      </c>
      <c r="F982" s="5" t="str">
        <f t="shared" ref="F982:F985" si="279">"男"</f>
        <v>男</v>
      </c>
      <c r="G982" s="5" t="str">
        <f>"1998-02-11"</f>
        <v>1998-02-11</v>
      </c>
      <c r="H982" s="5" t="str">
        <f>"海南医学院"</f>
        <v>海南医学院</v>
      </c>
    </row>
    <row r="983" s="2" customFormat="1" ht="20" customHeight="1" spans="1:8">
      <c r="A983" s="5">
        <v>981</v>
      </c>
      <c r="B983" s="5" t="str">
        <f>"223220191124101131210821"</f>
        <v>223220191124101131210821</v>
      </c>
      <c r="C983" s="5" t="s">
        <v>41</v>
      </c>
      <c r="D983" s="5" t="s">
        <v>42</v>
      </c>
      <c r="E983" s="5" t="str">
        <f>"陈开广"</f>
        <v>陈开广</v>
      </c>
      <c r="F983" s="5" t="str">
        <f t="shared" si="279"/>
        <v>男</v>
      </c>
      <c r="G983" s="5" t="str">
        <f>"1987-06-27"</f>
        <v>1987-06-27</v>
      </c>
      <c r="H983" s="5" t="str">
        <f>"淮南联合大学"</f>
        <v>淮南联合大学</v>
      </c>
    </row>
    <row r="984" s="2" customFormat="1" ht="20" customHeight="1" spans="1:8">
      <c r="A984" s="5">
        <v>982</v>
      </c>
      <c r="B984" s="5" t="str">
        <f>"223220191124103811210845"</f>
        <v>223220191124103811210845</v>
      </c>
      <c r="C984" s="5" t="s">
        <v>41</v>
      </c>
      <c r="D984" s="5" t="s">
        <v>42</v>
      </c>
      <c r="E984" s="5" t="str">
        <f>"谢东海"</f>
        <v>谢东海</v>
      </c>
      <c r="F984" s="5" t="str">
        <f t="shared" si="279"/>
        <v>男</v>
      </c>
      <c r="G984" s="5" t="str">
        <f>"1995-03-14"</f>
        <v>1995-03-14</v>
      </c>
      <c r="H984" s="5" t="str">
        <f>"三亚理工职业学院"</f>
        <v>三亚理工职业学院</v>
      </c>
    </row>
    <row r="985" s="2" customFormat="1" ht="20" customHeight="1" spans="1:8">
      <c r="A985" s="5">
        <v>983</v>
      </c>
      <c r="B985" s="5" t="str">
        <f>"223220191124122726210973"</f>
        <v>223220191124122726210973</v>
      </c>
      <c r="C985" s="5" t="s">
        <v>41</v>
      </c>
      <c r="D985" s="5" t="s">
        <v>42</v>
      </c>
      <c r="E985" s="5" t="str">
        <f>"黎勇"</f>
        <v>黎勇</v>
      </c>
      <c r="F985" s="5" t="str">
        <f t="shared" si="279"/>
        <v>男</v>
      </c>
      <c r="G985" s="5" t="str">
        <f>"1995-11-17"</f>
        <v>1995-11-17</v>
      </c>
      <c r="H985" s="5" t="str">
        <f>"三亚航空旅游职业学院"</f>
        <v>三亚航空旅游职业学院</v>
      </c>
    </row>
    <row r="986" s="2" customFormat="1" ht="20" customHeight="1" spans="1:8">
      <c r="A986" s="5">
        <v>984</v>
      </c>
      <c r="B986" s="5" t="str">
        <f>"223220191124130056210998"</f>
        <v>223220191124130056210998</v>
      </c>
      <c r="C986" s="5" t="s">
        <v>41</v>
      </c>
      <c r="D986" s="5" t="s">
        <v>42</v>
      </c>
      <c r="E986" s="5" t="str">
        <f>"符雪妹"</f>
        <v>符雪妹</v>
      </c>
      <c r="F986" s="5" t="str">
        <f t="shared" ref="F986:F988" si="280">"女"</f>
        <v>女</v>
      </c>
      <c r="G986" s="5" t="str">
        <f>"1989-04-10"</f>
        <v>1989-04-10</v>
      </c>
      <c r="H986" s="5" t="str">
        <f>"兰州商学院"</f>
        <v>兰州商学院</v>
      </c>
    </row>
    <row r="987" s="2" customFormat="1" ht="20" customHeight="1" spans="1:8">
      <c r="A987" s="5">
        <v>985</v>
      </c>
      <c r="B987" s="5" t="str">
        <f>"223220191124140612211053"</f>
        <v>223220191124140612211053</v>
      </c>
      <c r="C987" s="5" t="s">
        <v>41</v>
      </c>
      <c r="D987" s="5" t="s">
        <v>42</v>
      </c>
      <c r="E987" s="5" t="str">
        <f>"谢雯琪"</f>
        <v>谢雯琪</v>
      </c>
      <c r="F987" s="5" t="str">
        <f t="shared" si="280"/>
        <v>女</v>
      </c>
      <c r="G987" s="5" t="str">
        <f>"1991-05-29"</f>
        <v>1991-05-29</v>
      </c>
      <c r="H987" s="5" t="str">
        <f>"海口经济学院"</f>
        <v>海口经济学院</v>
      </c>
    </row>
    <row r="988" s="2" customFormat="1" ht="20" customHeight="1" spans="1:8">
      <c r="A988" s="5">
        <v>986</v>
      </c>
      <c r="B988" s="5" t="str">
        <f>"223220191124151105211100"</f>
        <v>223220191124151105211100</v>
      </c>
      <c r="C988" s="5" t="s">
        <v>41</v>
      </c>
      <c r="D988" s="5" t="s">
        <v>42</v>
      </c>
      <c r="E988" s="5" t="str">
        <f>"王德桃"</f>
        <v>王德桃</v>
      </c>
      <c r="F988" s="5" t="str">
        <f t="shared" si="280"/>
        <v>女</v>
      </c>
      <c r="G988" s="5" t="str">
        <f>"1995-11-12"</f>
        <v>1995-11-12</v>
      </c>
      <c r="H988" s="5" t="str">
        <f>"海南科技职业学院"</f>
        <v>海南科技职业学院</v>
      </c>
    </row>
    <row r="989" s="2" customFormat="1" ht="20" customHeight="1" spans="1:8">
      <c r="A989" s="5">
        <v>987</v>
      </c>
      <c r="B989" s="5" t="str">
        <f>"223220191124180407211211"</f>
        <v>223220191124180407211211</v>
      </c>
      <c r="C989" s="5" t="s">
        <v>41</v>
      </c>
      <c r="D989" s="5" t="s">
        <v>42</v>
      </c>
      <c r="E989" s="5" t="str">
        <f>"羊华强"</f>
        <v>羊华强</v>
      </c>
      <c r="F989" s="5" t="str">
        <f t="shared" ref="F989:F993" si="281">"男"</f>
        <v>男</v>
      </c>
      <c r="G989" s="5" t="str">
        <f>"1995-10-10"</f>
        <v>1995-10-10</v>
      </c>
      <c r="H989" s="5" t="str">
        <f>"海南经贸职业技术学院"</f>
        <v>海南经贸职业技术学院</v>
      </c>
    </row>
    <row r="990" s="2" customFormat="1" ht="20" customHeight="1" spans="1:8">
      <c r="A990" s="5">
        <v>988</v>
      </c>
      <c r="B990" s="5" t="str">
        <f>"223220191124190248211253"</f>
        <v>223220191124190248211253</v>
      </c>
      <c r="C990" s="5" t="s">
        <v>41</v>
      </c>
      <c r="D990" s="5" t="s">
        <v>42</v>
      </c>
      <c r="E990" s="5" t="str">
        <f>"黎明道"</f>
        <v>黎明道</v>
      </c>
      <c r="F990" s="5" t="str">
        <f t="shared" si="281"/>
        <v>男</v>
      </c>
      <c r="G990" s="5" t="str">
        <f>"1992-02-10"</f>
        <v>1992-02-10</v>
      </c>
      <c r="H990" s="5" t="str">
        <f>"洛阳理工学院"</f>
        <v>洛阳理工学院</v>
      </c>
    </row>
    <row r="991" s="2" customFormat="1" ht="20" customHeight="1" spans="1:8">
      <c r="A991" s="5">
        <v>989</v>
      </c>
      <c r="B991" s="5" t="str">
        <f>"223220191124202521211328"</f>
        <v>223220191124202521211328</v>
      </c>
      <c r="C991" s="5" t="s">
        <v>41</v>
      </c>
      <c r="D991" s="5" t="s">
        <v>42</v>
      </c>
      <c r="E991" s="5" t="str">
        <f>"谢尚谦"</f>
        <v>谢尚谦</v>
      </c>
      <c r="F991" s="5" t="str">
        <f t="shared" si="281"/>
        <v>男</v>
      </c>
      <c r="G991" s="5" t="str">
        <f>"1988-07-20"</f>
        <v>1988-07-20</v>
      </c>
      <c r="H991" s="5" t="str">
        <f>"福州黎明职业技术学院"</f>
        <v>福州黎明职业技术学院</v>
      </c>
    </row>
    <row r="992" s="2" customFormat="1" ht="20" customHeight="1" spans="1:8">
      <c r="A992" s="5">
        <v>990</v>
      </c>
      <c r="B992" s="5" t="str">
        <f>"223220191124204630211346"</f>
        <v>223220191124204630211346</v>
      </c>
      <c r="C992" s="5" t="s">
        <v>41</v>
      </c>
      <c r="D992" s="5" t="s">
        <v>42</v>
      </c>
      <c r="E992" s="5" t="str">
        <f>"陈选忠"</f>
        <v>陈选忠</v>
      </c>
      <c r="F992" s="5" t="str">
        <f t="shared" si="281"/>
        <v>男</v>
      </c>
      <c r="G992" s="5" t="str">
        <f>"1993-01-07"</f>
        <v>1993-01-07</v>
      </c>
      <c r="H992" s="5" t="str">
        <f>"华北理工大学轻工学院"</f>
        <v>华北理工大学轻工学院</v>
      </c>
    </row>
    <row r="993" s="2" customFormat="1" ht="20" customHeight="1" spans="1:8">
      <c r="A993" s="5">
        <v>991</v>
      </c>
      <c r="B993" s="5" t="str">
        <f>"223220191124205115211352"</f>
        <v>223220191124205115211352</v>
      </c>
      <c r="C993" s="5" t="s">
        <v>41</v>
      </c>
      <c r="D993" s="5" t="s">
        <v>42</v>
      </c>
      <c r="E993" s="5" t="str">
        <f>"张裘泽"</f>
        <v>张裘泽</v>
      </c>
      <c r="F993" s="5" t="str">
        <f t="shared" si="281"/>
        <v>男</v>
      </c>
      <c r="G993" s="5" t="str">
        <f>"1995-12-19"</f>
        <v>1995-12-19</v>
      </c>
      <c r="H993" s="5" t="str">
        <f>"云南大学旅游文化学院"</f>
        <v>云南大学旅游文化学院</v>
      </c>
    </row>
    <row r="994" s="2" customFormat="1" ht="20" customHeight="1" spans="1:8">
      <c r="A994" s="5">
        <v>992</v>
      </c>
      <c r="B994" s="5" t="str">
        <f>"223220191124220847211424"</f>
        <v>223220191124220847211424</v>
      </c>
      <c r="C994" s="5" t="s">
        <v>41</v>
      </c>
      <c r="D994" s="5" t="s">
        <v>42</v>
      </c>
      <c r="E994" s="5" t="str">
        <f>"林二莲"</f>
        <v>林二莲</v>
      </c>
      <c r="F994" s="5" t="str">
        <f t="shared" ref="F994:F999" si="282">"女"</f>
        <v>女</v>
      </c>
      <c r="G994" s="5" t="str">
        <f>"1985-03-06"</f>
        <v>1985-03-06</v>
      </c>
      <c r="H994" s="5" t="str">
        <f>"海南省琼州学院"</f>
        <v>海南省琼州学院</v>
      </c>
    </row>
    <row r="995" s="2" customFormat="1" ht="20" customHeight="1" spans="1:8">
      <c r="A995" s="5">
        <v>993</v>
      </c>
      <c r="B995" s="5" t="str">
        <f>"223220191124234150211478"</f>
        <v>223220191124234150211478</v>
      </c>
      <c r="C995" s="5" t="s">
        <v>41</v>
      </c>
      <c r="D995" s="5" t="s">
        <v>42</v>
      </c>
      <c r="E995" s="5" t="str">
        <f>"黎文恒"</f>
        <v>黎文恒</v>
      </c>
      <c r="F995" s="5" t="str">
        <f t="shared" ref="F995:F1001" si="283">"男"</f>
        <v>男</v>
      </c>
      <c r="G995" s="5" t="str">
        <f>"1998-03-03"</f>
        <v>1998-03-03</v>
      </c>
      <c r="H995" s="5" t="str">
        <f>"南宁学院"</f>
        <v>南宁学院</v>
      </c>
    </row>
    <row r="996" s="2" customFormat="1" ht="20" customHeight="1" spans="1:8">
      <c r="A996" s="5">
        <v>994</v>
      </c>
      <c r="B996" s="5" t="str">
        <f>"223220191125002506211486"</f>
        <v>223220191125002506211486</v>
      </c>
      <c r="C996" s="5" t="s">
        <v>41</v>
      </c>
      <c r="D996" s="5" t="s">
        <v>42</v>
      </c>
      <c r="E996" s="5" t="str">
        <f>"李华斌"</f>
        <v>李华斌</v>
      </c>
      <c r="F996" s="5" t="str">
        <f t="shared" si="283"/>
        <v>男</v>
      </c>
      <c r="G996" s="5" t="str">
        <f>"1996-10-10"</f>
        <v>1996-10-10</v>
      </c>
      <c r="H996" s="5" t="str">
        <f>"海口经济学院"</f>
        <v>海口经济学院</v>
      </c>
    </row>
    <row r="997" s="2" customFormat="1" ht="20" customHeight="1" spans="1:8">
      <c r="A997" s="5">
        <v>995</v>
      </c>
      <c r="B997" s="5" t="str">
        <f>"223220191125082547211524"</f>
        <v>223220191125082547211524</v>
      </c>
      <c r="C997" s="5" t="s">
        <v>41</v>
      </c>
      <c r="D997" s="5" t="s">
        <v>42</v>
      </c>
      <c r="E997" s="5" t="str">
        <f>"梁海英"</f>
        <v>梁海英</v>
      </c>
      <c r="F997" s="5" t="str">
        <f t="shared" ref="F997:F999" si="284">"女"</f>
        <v>女</v>
      </c>
      <c r="G997" s="5" t="str">
        <f>"1994-09-08"</f>
        <v>1994-09-08</v>
      </c>
      <c r="H997" s="5" t="str">
        <f>"海南师范大学"</f>
        <v>海南师范大学</v>
      </c>
    </row>
    <row r="998" s="2" customFormat="1" ht="20" customHeight="1" spans="1:8">
      <c r="A998" s="5">
        <v>996</v>
      </c>
      <c r="B998" s="5" t="str">
        <f>"223220191125084536211550"</f>
        <v>223220191125084536211550</v>
      </c>
      <c r="C998" s="5" t="s">
        <v>41</v>
      </c>
      <c r="D998" s="5" t="s">
        <v>42</v>
      </c>
      <c r="E998" s="5" t="str">
        <f>"吴加妮"</f>
        <v>吴加妮</v>
      </c>
      <c r="F998" s="5" t="str">
        <f t="shared" si="284"/>
        <v>女</v>
      </c>
      <c r="G998" s="5" t="str">
        <f>"1994-09-06"</f>
        <v>1994-09-06</v>
      </c>
      <c r="H998" s="5" t="str">
        <f>"广西师范学院师园学院"</f>
        <v>广西师范学院师园学院</v>
      </c>
    </row>
    <row r="999" s="2" customFormat="1" ht="20" customHeight="1" spans="1:8">
      <c r="A999" s="5">
        <v>997</v>
      </c>
      <c r="B999" s="5" t="str">
        <f>"223220191125091944211630"</f>
        <v>223220191125091944211630</v>
      </c>
      <c r="C999" s="5" t="s">
        <v>41</v>
      </c>
      <c r="D999" s="5" t="s">
        <v>42</v>
      </c>
      <c r="E999" s="5" t="str">
        <f>"王福丹"</f>
        <v>王福丹</v>
      </c>
      <c r="F999" s="5" t="str">
        <f t="shared" si="284"/>
        <v>女</v>
      </c>
      <c r="G999" s="5" t="str">
        <f>"1988-09-15"</f>
        <v>1988-09-15</v>
      </c>
      <c r="H999" s="5" t="str">
        <f>"青岛飞洋职业技术学院"</f>
        <v>青岛飞洋职业技术学院</v>
      </c>
    </row>
    <row r="1000" s="2" customFormat="1" ht="20" customHeight="1" spans="1:8">
      <c r="A1000" s="5">
        <v>998</v>
      </c>
      <c r="B1000" s="5" t="str">
        <f>"223220191125095201211698"</f>
        <v>223220191125095201211698</v>
      </c>
      <c r="C1000" s="5" t="s">
        <v>41</v>
      </c>
      <c r="D1000" s="5" t="s">
        <v>42</v>
      </c>
      <c r="E1000" s="5" t="str">
        <f>"李翼达"</f>
        <v>李翼达</v>
      </c>
      <c r="F1000" s="5" t="str">
        <f>"男"</f>
        <v>男</v>
      </c>
      <c r="G1000" s="5" t="str">
        <f>"1992-06-24"</f>
        <v>1992-06-24</v>
      </c>
      <c r="H1000" s="5" t="str">
        <f>"云南师范大学文理学院"</f>
        <v>云南师范大学文理学院</v>
      </c>
    </row>
    <row r="1001" s="2" customFormat="1" ht="20" customHeight="1" spans="1:8">
      <c r="A1001" s="5">
        <v>999</v>
      </c>
      <c r="B1001" s="5" t="str">
        <f>"223220191125095958211718"</f>
        <v>223220191125095958211718</v>
      </c>
      <c r="C1001" s="5" t="s">
        <v>41</v>
      </c>
      <c r="D1001" s="5" t="s">
        <v>42</v>
      </c>
      <c r="E1001" s="5" t="str">
        <f>"王如玲"</f>
        <v>王如玲</v>
      </c>
      <c r="F1001" s="5" t="str">
        <f>"男"</f>
        <v>男</v>
      </c>
      <c r="G1001" s="5" t="str">
        <f>"1991-07-29"</f>
        <v>1991-07-29</v>
      </c>
      <c r="H1001" s="5" t="str">
        <f>"上海工程技术大学 "</f>
        <v>上海工程技术大学 </v>
      </c>
    </row>
    <row r="1002" s="2" customFormat="1" ht="20" customHeight="1" spans="1:8">
      <c r="A1002" s="5">
        <v>1000</v>
      </c>
      <c r="B1002" s="5" t="str">
        <f>"223220191125100135211722"</f>
        <v>223220191125100135211722</v>
      </c>
      <c r="C1002" s="5" t="s">
        <v>41</v>
      </c>
      <c r="D1002" s="5" t="s">
        <v>42</v>
      </c>
      <c r="E1002" s="5" t="str">
        <f>"朱万英"</f>
        <v>朱万英</v>
      </c>
      <c r="F1002" s="5" t="str">
        <f t="shared" ref="F1002:F1007" si="285">"女"</f>
        <v>女</v>
      </c>
      <c r="G1002" s="5" t="str">
        <f>"1997-01-01"</f>
        <v>1997-01-01</v>
      </c>
      <c r="H1002" s="5" t="str">
        <f>"湖北师范大学文理学院"</f>
        <v>湖北师范大学文理学院</v>
      </c>
    </row>
    <row r="1003" s="2" customFormat="1" ht="20" customHeight="1" spans="1:8">
      <c r="A1003" s="5">
        <v>1001</v>
      </c>
      <c r="B1003" s="5" t="str">
        <f>"223220191125100600211733"</f>
        <v>223220191125100600211733</v>
      </c>
      <c r="C1003" s="5" t="s">
        <v>41</v>
      </c>
      <c r="D1003" s="5" t="s">
        <v>42</v>
      </c>
      <c r="E1003" s="5" t="str">
        <f>"李婷叶"</f>
        <v>李婷叶</v>
      </c>
      <c r="F1003" s="5" t="str">
        <f t="shared" si="285"/>
        <v>女</v>
      </c>
      <c r="G1003" s="5" t="str">
        <f>"1987-10-26"</f>
        <v>1987-10-26</v>
      </c>
      <c r="H1003" s="5" t="str">
        <f>"海南外国语职业学院"</f>
        <v>海南外国语职业学院</v>
      </c>
    </row>
    <row r="1004" s="2" customFormat="1" ht="20" customHeight="1" spans="1:8">
      <c r="A1004" s="5">
        <v>1002</v>
      </c>
      <c r="B1004" s="5" t="str">
        <f>"223220191125100937211741"</f>
        <v>223220191125100937211741</v>
      </c>
      <c r="C1004" s="5" t="s">
        <v>41</v>
      </c>
      <c r="D1004" s="5" t="s">
        <v>42</v>
      </c>
      <c r="E1004" s="5" t="str">
        <f>"周伟武"</f>
        <v>周伟武</v>
      </c>
      <c r="F1004" s="5" t="str">
        <f t="shared" ref="F1004:F1008" si="286">"男"</f>
        <v>男</v>
      </c>
      <c r="G1004" s="5" t="str">
        <f>"1993-01-14"</f>
        <v>1993-01-14</v>
      </c>
      <c r="H1004" s="5" t="str">
        <f>"海南政法职业学院"</f>
        <v>海南政法职业学院</v>
      </c>
    </row>
    <row r="1005" s="2" customFormat="1" ht="20" customHeight="1" spans="1:8">
      <c r="A1005" s="5">
        <v>1003</v>
      </c>
      <c r="B1005" s="5" t="str">
        <f>"223220191125102941211777"</f>
        <v>223220191125102941211777</v>
      </c>
      <c r="C1005" s="5" t="s">
        <v>41</v>
      </c>
      <c r="D1005" s="5" t="s">
        <v>42</v>
      </c>
      <c r="E1005" s="5" t="str">
        <f>"符健柏"</f>
        <v>符健柏</v>
      </c>
      <c r="F1005" s="5" t="str">
        <f t="shared" si="286"/>
        <v>男</v>
      </c>
      <c r="G1005" s="5" t="str">
        <f>"1991-02-12"</f>
        <v>1991-02-12</v>
      </c>
      <c r="H1005" s="5" t="str">
        <f>"桂林理工大学高等职业技术学院"</f>
        <v>桂林理工大学高等职业技术学院</v>
      </c>
    </row>
    <row r="1006" s="2" customFormat="1" ht="20" customHeight="1" spans="1:8">
      <c r="A1006" s="5">
        <v>1004</v>
      </c>
      <c r="B1006" s="5" t="str">
        <f>"223220191125104927211813"</f>
        <v>223220191125104927211813</v>
      </c>
      <c r="C1006" s="5" t="s">
        <v>41</v>
      </c>
      <c r="D1006" s="5" t="s">
        <v>42</v>
      </c>
      <c r="E1006" s="5" t="str">
        <f>"韩六妹"</f>
        <v>韩六妹</v>
      </c>
      <c r="F1006" s="5" t="str">
        <f>"女"</f>
        <v>女</v>
      </c>
      <c r="G1006" s="5" t="str">
        <f>"1991-06-24"</f>
        <v>1991-06-24</v>
      </c>
      <c r="H1006" s="5" t="str">
        <f>"吉首大学"</f>
        <v>吉首大学</v>
      </c>
    </row>
    <row r="1007" s="2" customFormat="1" ht="20" customHeight="1" spans="1:8">
      <c r="A1007" s="5">
        <v>1005</v>
      </c>
      <c r="B1007" s="5" t="str">
        <f>"223220191125112129211881"</f>
        <v>223220191125112129211881</v>
      </c>
      <c r="C1007" s="5" t="s">
        <v>41</v>
      </c>
      <c r="D1007" s="5" t="s">
        <v>42</v>
      </c>
      <c r="E1007" s="5" t="str">
        <f>"王初鸾"</f>
        <v>王初鸾</v>
      </c>
      <c r="F1007" s="5" t="str">
        <f>"女"</f>
        <v>女</v>
      </c>
      <c r="G1007" s="5" t="str">
        <f>"1995-08-09"</f>
        <v>1995-08-09</v>
      </c>
      <c r="H1007" s="5" t="str">
        <f>"贵州工程应用技术学院"</f>
        <v>贵州工程应用技术学院</v>
      </c>
    </row>
    <row r="1008" s="2" customFormat="1" ht="20" customHeight="1" spans="1:8">
      <c r="A1008" s="5">
        <v>1006</v>
      </c>
      <c r="B1008" s="5" t="str">
        <f>"223220191125114237211925"</f>
        <v>223220191125114237211925</v>
      </c>
      <c r="C1008" s="5" t="s">
        <v>41</v>
      </c>
      <c r="D1008" s="5" t="s">
        <v>42</v>
      </c>
      <c r="E1008" s="5" t="str">
        <f>"唐若昌"</f>
        <v>唐若昌</v>
      </c>
      <c r="F1008" s="5" t="str">
        <f>"男"</f>
        <v>男</v>
      </c>
      <c r="G1008" s="5" t="str">
        <f>"1991-02-15"</f>
        <v>1991-02-15</v>
      </c>
      <c r="H1008" s="5" t="str">
        <f>"厦门华天涉外技术学院"</f>
        <v>厦门华天涉外技术学院</v>
      </c>
    </row>
    <row r="1009" s="2" customFormat="1" ht="20" customHeight="1" spans="1:8">
      <c r="A1009" s="5">
        <v>1007</v>
      </c>
      <c r="B1009" s="5" t="str">
        <f>"223220191125115209211951"</f>
        <v>223220191125115209211951</v>
      </c>
      <c r="C1009" s="5" t="s">
        <v>41</v>
      </c>
      <c r="D1009" s="5" t="s">
        <v>42</v>
      </c>
      <c r="E1009" s="5" t="str">
        <f>"吴金带"</f>
        <v>吴金带</v>
      </c>
      <c r="F1009" s="5" t="str">
        <f t="shared" ref="F1009:F1014" si="287">"女"</f>
        <v>女</v>
      </c>
      <c r="G1009" s="5" t="str">
        <f>"1994-08-26"</f>
        <v>1994-08-26</v>
      </c>
      <c r="H1009" s="5" t="str">
        <f>"琼台师范高等专科学校"</f>
        <v>琼台师范高等专科学校</v>
      </c>
    </row>
    <row r="1010" s="2" customFormat="1" ht="20" customHeight="1" spans="1:8">
      <c r="A1010" s="5">
        <v>1008</v>
      </c>
      <c r="B1010" s="5" t="str">
        <f>"223220191125115705211962"</f>
        <v>223220191125115705211962</v>
      </c>
      <c r="C1010" s="5" t="s">
        <v>41</v>
      </c>
      <c r="D1010" s="5" t="s">
        <v>42</v>
      </c>
      <c r="E1010" s="5" t="str">
        <f>"吴祥艳"</f>
        <v>吴祥艳</v>
      </c>
      <c r="F1010" s="5" t="str">
        <f t="shared" si="287"/>
        <v>女</v>
      </c>
      <c r="G1010" s="5" t="str">
        <f>"1994-02-06"</f>
        <v>1994-02-06</v>
      </c>
      <c r="H1010" s="5" t="str">
        <f>"海南热带海洋学院"</f>
        <v>海南热带海洋学院</v>
      </c>
    </row>
    <row r="1011" s="2" customFormat="1" ht="20" customHeight="1" spans="1:8">
      <c r="A1011" s="5">
        <v>1009</v>
      </c>
      <c r="B1011" s="5" t="str">
        <f>"223220191125123659211997"</f>
        <v>223220191125123659211997</v>
      </c>
      <c r="C1011" s="5" t="s">
        <v>41</v>
      </c>
      <c r="D1011" s="5" t="s">
        <v>42</v>
      </c>
      <c r="E1011" s="5" t="str">
        <f>"张浩然"</f>
        <v>张浩然</v>
      </c>
      <c r="F1011" s="5" t="str">
        <f t="shared" ref="F1011:F1016" si="288">"男"</f>
        <v>男</v>
      </c>
      <c r="G1011" s="5" t="str">
        <f>"1994-11-21"</f>
        <v>1994-11-21</v>
      </c>
      <c r="H1011" s="5" t="str">
        <f>"福建工程学院"</f>
        <v>福建工程学院</v>
      </c>
    </row>
    <row r="1012" s="2" customFormat="1" ht="20" customHeight="1" spans="1:8">
      <c r="A1012" s="5">
        <v>1010</v>
      </c>
      <c r="B1012" s="5" t="str">
        <f>"223220191125124859212009"</f>
        <v>223220191125124859212009</v>
      </c>
      <c r="C1012" s="5" t="s">
        <v>41</v>
      </c>
      <c r="D1012" s="5" t="s">
        <v>42</v>
      </c>
      <c r="E1012" s="5" t="str">
        <f>"何健良"</f>
        <v>何健良</v>
      </c>
      <c r="F1012" s="5" t="str">
        <f t="shared" si="288"/>
        <v>男</v>
      </c>
      <c r="G1012" s="5" t="str">
        <f>"1993-01-16"</f>
        <v>1993-01-16</v>
      </c>
      <c r="H1012" s="5" t="str">
        <f>"兰州理工大学"</f>
        <v>兰州理工大学</v>
      </c>
    </row>
    <row r="1013" s="2" customFormat="1" ht="20" customHeight="1" spans="1:8">
      <c r="A1013" s="5">
        <v>1011</v>
      </c>
      <c r="B1013" s="5" t="str">
        <f>"223220191125130136212027"</f>
        <v>223220191125130136212027</v>
      </c>
      <c r="C1013" s="5" t="s">
        <v>41</v>
      </c>
      <c r="D1013" s="5" t="s">
        <v>42</v>
      </c>
      <c r="E1013" s="5" t="str">
        <f>"黄小津"</f>
        <v>黄小津</v>
      </c>
      <c r="F1013" s="5" t="str">
        <f t="shared" ref="F1013:F1017" si="289">"女"</f>
        <v>女</v>
      </c>
      <c r="G1013" s="5" t="str">
        <f>"1992-03-01"</f>
        <v>1992-03-01</v>
      </c>
      <c r="H1013" s="5" t="str">
        <f>"江苏大学"</f>
        <v>江苏大学</v>
      </c>
    </row>
    <row r="1014" s="2" customFormat="1" ht="20" customHeight="1" spans="1:8">
      <c r="A1014" s="5">
        <v>1012</v>
      </c>
      <c r="B1014" s="5" t="str">
        <f>"223220191125132927212047"</f>
        <v>223220191125132927212047</v>
      </c>
      <c r="C1014" s="5" t="s">
        <v>41</v>
      </c>
      <c r="D1014" s="5" t="s">
        <v>42</v>
      </c>
      <c r="E1014" s="5" t="str">
        <f>"郭红丽"</f>
        <v>郭红丽</v>
      </c>
      <c r="F1014" s="5" t="str">
        <f t="shared" si="289"/>
        <v>女</v>
      </c>
      <c r="G1014" s="5" t="str">
        <f>"1986-09-17"</f>
        <v>1986-09-17</v>
      </c>
      <c r="H1014" s="5" t="str">
        <f>"海南大学"</f>
        <v>海南大学</v>
      </c>
    </row>
    <row r="1015" s="2" customFormat="1" ht="20" customHeight="1" spans="1:8">
      <c r="A1015" s="5">
        <v>1013</v>
      </c>
      <c r="B1015" s="5" t="str">
        <f>"223220191125134917212068"</f>
        <v>223220191125134917212068</v>
      </c>
      <c r="C1015" s="5" t="s">
        <v>41</v>
      </c>
      <c r="D1015" s="5" t="s">
        <v>42</v>
      </c>
      <c r="E1015" s="5" t="str">
        <f>"陈达魁"</f>
        <v>陈达魁</v>
      </c>
      <c r="F1015" s="5" t="str">
        <f t="shared" ref="F1015:F1022" si="290">"男"</f>
        <v>男</v>
      </c>
      <c r="G1015" s="5" t="str">
        <f>"1994-08-13"</f>
        <v>1994-08-13</v>
      </c>
      <c r="H1015" s="5" t="str">
        <f>"西北大学"</f>
        <v>西北大学</v>
      </c>
    </row>
    <row r="1016" s="2" customFormat="1" ht="20" customHeight="1" spans="1:8">
      <c r="A1016" s="5">
        <v>1014</v>
      </c>
      <c r="B1016" s="5" t="str">
        <f>"223220191125150101212150"</f>
        <v>223220191125150101212150</v>
      </c>
      <c r="C1016" s="5" t="s">
        <v>41</v>
      </c>
      <c r="D1016" s="5" t="s">
        <v>42</v>
      </c>
      <c r="E1016" s="5" t="str">
        <f>"谢振扬"</f>
        <v>谢振扬</v>
      </c>
      <c r="F1016" s="5" t="str">
        <f t="shared" si="290"/>
        <v>男</v>
      </c>
      <c r="G1016" s="5" t="str">
        <f>"1997-04-26"</f>
        <v>1997-04-26</v>
      </c>
      <c r="H1016" s="5" t="str">
        <f>"海南热带海洋学院"</f>
        <v>海南热带海洋学院</v>
      </c>
    </row>
    <row r="1017" s="2" customFormat="1" ht="20" customHeight="1" spans="1:8">
      <c r="A1017" s="5">
        <v>1015</v>
      </c>
      <c r="B1017" s="5" t="str">
        <f>"223220191125152054212198"</f>
        <v>223220191125152054212198</v>
      </c>
      <c r="C1017" s="5" t="s">
        <v>41</v>
      </c>
      <c r="D1017" s="5" t="s">
        <v>42</v>
      </c>
      <c r="E1017" s="5" t="str">
        <f>"郑家女"</f>
        <v>郑家女</v>
      </c>
      <c r="F1017" s="5" t="str">
        <f>"女"</f>
        <v>女</v>
      </c>
      <c r="G1017" s="5" t="str">
        <f>"1990-07-22"</f>
        <v>1990-07-22</v>
      </c>
      <c r="H1017" s="5" t="str">
        <f>"广西师范学院师圆学院"</f>
        <v>广西师范学院师圆学院</v>
      </c>
    </row>
    <row r="1018" s="2" customFormat="1" ht="20" customHeight="1" spans="1:8">
      <c r="A1018" s="5">
        <v>1016</v>
      </c>
      <c r="B1018" s="5" t="str">
        <f>"223220191125152730212207"</f>
        <v>223220191125152730212207</v>
      </c>
      <c r="C1018" s="5" t="s">
        <v>41</v>
      </c>
      <c r="D1018" s="5" t="s">
        <v>42</v>
      </c>
      <c r="E1018" s="5" t="str">
        <f>"许永"</f>
        <v>许永</v>
      </c>
      <c r="F1018" s="5" t="str">
        <f t="shared" ref="F1018:F1022" si="291">"男"</f>
        <v>男</v>
      </c>
      <c r="G1018" s="5" t="str">
        <f>"1987-03-16"</f>
        <v>1987-03-16</v>
      </c>
      <c r="H1018" s="5" t="str">
        <f>"海南省琼州学院"</f>
        <v>海南省琼州学院</v>
      </c>
    </row>
    <row r="1019" s="2" customFormat="1" ht="20" customHeight="1" spans="1:8">
      <c r="A1019" s="5">
        <v>1017</v>
      </c>
      <c r="B1019" s="5" t="str">
        <f>"223220191125153149212219"</f>
        <v>223220191125153149212219</v>
      </c>
      <c r="C1019" s="5" t="s">
        <v>41</v>
      </c>
      <c r="D1019" s="5" t="s">
        <v>42</v>
      </c>
      <c r="E1019" s="5" t="str">
        <f>"符庆莉"</f>
        <v>符庆莉</v>
      </c>
      <c r="F1019" s="5" t="str">
        <f>"女"</f>
        <v>女</v>
      </c>
      <c r="G1019" s="5" t="str">
        <f>"1989-10-13"</f>
        <v>1989-10-13</v>
      </c>
      <c r="H1019" s="5" t="str">
        <f>"赣南师范大学"</f>
        <v>赣南师范大学</v>
      </c>
    </row>
    <row r="1020" s="2" customFormat="1" ht="20" customHeight="1" spans="1:8">
      <c r="A1020" s="5">
        <v>1018</v>
      </c>
      <c r="B1020" s="5" t="str">
        <f>"223220191125161112212293"</f>
        <v>223220191125161112212293</v>
      </c>
      <c r="C1020" s="5" t="s">
        <v>41</v>
      </c>
      <c r="D1020" s="5" t="s">
        <v>42</v>
      </c>
      <c r="E1020" s="5" t="str">
        <f>"李全正"</f>
        <v>李全正</v>
      </c>
      <c r="F1020" s="5" t="str">
        <f>"男"</f>
        <v>男</v>
      </c>
      <c r="G1020" s="5" t="str">
        <f>"1994-11-24"</f>
        <v>1994-11-24</v>
      </c>
      <c r="H1020" s="5" t="str">
        <f>"辽宁对外经贸学院"</f>
        <v>辽宁对外经贸学院</v>
      </c>
    </row>
    <row r="1021" s="2" customFormat="1" ht="20" customHeight="1" spans="1:8">
      <c r="A1021" s="5">
        <v>1019</v>
      </c>
      <c r="B1021" s="5" t="str">
        <f>"223220191125163555212320"</f>
        <v>223220191125163555212320</v>
      </c>
      <c r="C1021" s="5" t="s">
        <v>41</v>
      </c>
      <c r="D1021" s="5" t="s">
        <v>42</v>
      </c>
      <c r="E1021" s="5" t="str">
        <f>"李秉发"</f>
        <v>李秉发</v>
      </c>
      <c r="F1021" s="5" t="str">
        <f>"男"</f>
        <v>男</v>
      </c>
      <c r="G1021" s="5" t="str">
        <f>"1991-09-11"</f>
        <v>1991-09-11</v>
      </c>
      <c r="H1021" s="5" t="str">
        <f>"西安航空学院"</f>
        <v>西安航空学院</v>
      </c>
    </row>
    <row r="1022" s="2" customFormat="1" ht="20" customHeight="1" spans="1:8">
      <c r="A1022" s="5">
        <v>1020</v>
      </c>
      <c r="B1022" s="5" t="str">
        <f>"223220191125170712212356"</f>
        <v>223220191125170712212356</v>
      </c>
      <c r="C1022" s="5" t="s">
        <v>41</v>
      </c>
      <c r="D1022" s="5" t="s">
        <v>42</v>
      </c>
      <c r="E1022" s="5" t="str">
        <f>"钟英干"</f>
        <v>钟英干</v>
      </c>
      <c r="F1022" s="5" t="str">
        <f>"男"</f>
        <v>男</v>
      </c>
      <c r="G1022" s="5" t="str">
        <f>"1993-05-09"</f>
        <v>1993-05-09</v>
      </c>
      <c r="H1022" s="5" t="str">
        <f>"三亚学院"</f>
        <v>三亚学院</v>
      </c>
    </row>
    <row r="1023" s="2" customFormat="1" ht="20" customHeight="1" spans="1:8">
      <c r="A1023" s="5">
        <v>1021</v>
      </c>
      <c r="B1023" s="5" t="str">
        <f>"223220191125183101212463"</f>
        <v>223220191125183101212463</v>
      </c>
      <c r="C1023" s="5" t="s">
        <v>41</v>
      </c>
      <c r="D1023" s="5" t="s">
        <v>42</v>
      </c>
      <c r="E1023" s="5" t="str">
        <f>"李精艳"</f>
        <v>李精艳</v>
      </c>
      <c r="F1023" s="5" t="str">
        <f t="shared" ref="F1023:F1026" si="292">"女"</f>
        <v>女</v>
      </c>
      <c r="G1023" s="5" t="str">
        <f>"1992-07-08"</f>
        <v>1992-07-08</v>
      </c>
      <c r="H1023" s="5" t="str">
        <f>"海口经济学院"</f>
        <v>海口经济学院</v>
      </c>
    </row>
    <row r="1024" s="2" customFormat="1" ht="20" customHeight="1" spans="1:8">
      <c r="A1024" s="5">
        <v>1022</v>
      </c>
      <c r="B1024" s="5" t="str">
        <f>"223220191125191434212496"</f>
        <v>223220191125191434212496</v>
      </c>
      <c r="C1024" s="5" t="s">
        <v>41</v>
      </c>
      <c r="D1024" s="5" t="s">
        <v>42</v>
      </c>
      <c r="E1024" s="5" t="str">
        <f>"王剑滔"</f>
        <v>王剑滔</v>
      </c>
      <c r="F1024" s="5" t="str">
        <f>"男"</f>
        <v>男</v>
      </c>
      <c r="G1024" s="5" t="str">
        <f>"1986-10-23"</f>
        <v>1986-10-23</v>
      </c>
      <c r="H1024" s="5" t="str">
        <f>"湖南省机电职业技术学院"</f>
        <v>湖南省机电职业技术学院</v>
      </c>
    </row>
    <row r="1025" s="2" customFormat="1" ht="20" customHeight="1" spans="1:8">
      <c r="A1025" s="5">
        <v>1023</v>
      </c>
      <c r="B1025" s="5" t="str">
        <f>"223220191125200801212572"</f>
        <v>223220191125200801212572</v>
      </c>
      <c r="C1025" s="5" t="s">
        <v>41</v>
      </c>
      <c r="D1025" s="5" t="s">
        <v>42</v>
      </c>
      <c r="E1025" s="5" t="str">
        <f>"黄海花"</f>
        <v>黄海花</v>
      </c>
      <c r="F1025" s="5" t="str">
        <f>"女"</f>
        <v>女</v>
      </c>
      <c r="G1025" s="5" t="str">
        <f>"1990-03-13"</f>
        <v>1990-03-13</v>
      </c>
      <c r="H1025" s="5" t="str">
        <f>"海南医学院"</f>
        <v>海南医学院</v>
      </c>
    </row>
    <row r="1026" s="2" customFormat="1" ht="20" customHeight="1" spans="1:8">
      <c r="A1026" s="5">
        <v>1024</v>
      </c>
      <c r="B1026" s="5" t="str">
        <f>"223220191125202817212603"</f>
        <v>223220191125202817212603</v>
      </c>
      <c r="C1026" s="5" t="s">
        <v>41</v>
      </c>
      <c r="D1026" s="5" t="s">
        <v>42</v>
      </c>
      <c r="E1026" s="5" t="str">
        <f>"李小花"</f>
        <v>李小花</v>
      </c>
      <c r="F1026" s="5" t="str">
        <f>"女"</f>
        <v>女</v>
      </c>
      <c r="G1026" s="5" t="str">
        <f>"1992-12-16"</f>
        <v>1992-12-16</v>
      </c>
      <c r="H1026" s="5" t="str">
        <f>"湖南科技学院"</f>
        <v>湖南科技学院</v>
      </c>
    </row>
    <row r="1027" s="2" customFormat="1" ht="20" customHeight="1" spans="1:8">
      <c r="A1027" s="5">
        <v>1025</v>
      </c>
      <c r="B1027" s="5" t="str">
        <f>"223220191125203808212619"</f>
        <v>223220191125203808212619</v>
      </c>
      <c r="C1027" s="5" t="s">
        <v>41</v>
      </c>
      <c r="D1027" s="5" t="s">
        <v>42</v>
      </c>
      <c r="E1027" s="5" t="str">
        <f>"陈中华"</f>
        <v>陈中华</v>
      </c>
      <c r="F1027" s="5" t="str">
        <f>"男"</f>
        <v>男</v>
      </c>
      <c r="G1027" s="5" t="str">
        <f>"1996-02-10"</f>
        <v>1996-02-10</v>
      </c>
      <c r="H1027" s="5" t="str">
        <f>"国家开发性大学"</f>
        <v>国家开发性大学</v>
      </c>
    </row>
    <row r="1028" s="2" customFormat="1" ht="20" customHeight="1" spans="1:8">
      <c r="A1028" s="5">
        <v>1026</v>
      </c>
      <c r="B1028" s="5" t="str">
        <f>"223220191125215954212730"</f>
        <v>223220191125215954212730</v>
      </c>
      <c r="C1028" s="5" t="s">
        <v>41</v>
      </c>
      <c r="D1028" s="5" t="s">
        <v>42</v>
      </c>
      <c r="E1028" s="5" t="str">
        <f>"陈冬梅"</f>
        <v>陈冬梅</v>
      </c>
      <c r="F1028" s="5" t="str">
        <f t="shared" ref="F1028:F1031" si="293">"女"</f>
        <v>女</v>
      </c>
      <c r="G1028" s="5" t="str">
        <f>"1989-12-23"</f>
        <v>1989-12-23</v>
      </c>
      <c r="H1028" s="5" t="str">
        <f>"忻州师范学院"</f>
        <v>忻州师范学院</v>
      </c>
    </row>
    <row r="1029" s="2" customFormat="1" ht="20" customHeight="1" spans="1:8">
      <c r="A1029" s="5">
        <v>1027</v>
      </c>
      <c r="B1029" s="5" t="str">
        <f>"223220191125222945212758"</f>
        <v>223220191125222945212758</v>
      </c>
      <c r="C1029" s="5" t="s">
        <v>41</v>
      </c>
      <c r="D1029" s="5" t="s">
        <v>42</v>
      </c>
      <c r="E1029" s="5" t="str">
        <f>"柯令丽"</f>
        <v>柯令丽</v>
      </c>
      <c r="F1029" s="5" t="str">
        <f t="shared" si="293"/>
        <v>女</v>
      </c>
      <c r="G1029" s="5" t="str">
        <f>"1997-06-18"</f>
        <v>1997-06-18</v>
      </c>
      <c r="H1029" s="5" t="str">
        <f>"海南经贸职业技术学院"</f>
        <v>海南经贸职业技术学院</v>
      </c>
    </row>
    <row r="1030" s="2" customFormat="1" ht="20" customHeight="1" spans="1:8">
      <c r="A1030" s="5">
        <v>1028</v>
      </c>
      <c r="B1030" s="5" t="str">
        <f>"223220191125230019212795"</f>
        <v>223220191125230019212795</v>
      </c>
      <c r="C1030" s="5" t="s">
        <v>41</v>
      </c>
      <c r="D1030" s="5" t="s">
        <v>42</v>
      </c>
      <c r="E1030" s="5" t="str">
        <f>"薛蔚芳"</f>
        <v>薛蔚芳</v>
      </c>
      <c r="F1030" s="5" t="str">
        <f t="shared" si="293"/>
        <v>女</v>
      </c>
      <c r="G1030" s="5" t="str">
        <f>"1992-03-12"</f>
        <v>1992-03-12</v>
      </c>
      <c r="H1030" s="5" t="str">
        <f>"天津理工大学中环信息学院"</f>
        <v>天津理工大学中环信息学院</v>
      </c>
    </row>
    <row r="1031" s="2" customFormat="1" ht="20" customHeight="1" spans="1:8">
      <c r="A1031" s="5">
        <v>1029</v>
      </c>
      <c r="B1031" s="5" t="str">
        <f>"223220191125234123212811"</f>
        <v>223220191125234123212811</v>
      </c>
      <c r="C1031" s="5" t="s">
        <v>41</v>
      </c>
      <c r="D1031" s="5" t="s">
        <v>42</v>
      </c>
      <c r="E1031" s="5" t="str">
        <f>"陈焕坤"</f>
        <v>陈焕坤</v>
      </c>
      <c r="F1031" s="5" t="str">
        <f t="shared" si="293"/>
        <v>女</v>
      </c>
      <c r="G1031" s="5" t="str">
        <f>"1994-12-03"</f>
        <v>1994-12-03</v>
      </c>
      <c r="H1031" s="5" t="str">
        <f>"怀化学院"</f>
        <v>怀化学院</v>
      </c>
    </row>
    <row r="1032" s="2" customFormat="1" ht="20" customHeight="1" spans="1:8">
      <c r="A1032" s="5">
        <v>1030</v>
      </c>
      <c r="B1032" s="5" t="str">
        <f>"223220191126082018212884"</f>
        <v>223220191126082018212884</v>
      </c>
      <c r="C1032" s="5" t="s">
        <v>41</v>
      </c>
      <c r="D1032" s="5" t="s">
        <v>42</v>
      </c>
      <c r="E1032" s="5" t="str">
        <f>"羊学新"</f>
        <v>羊学新</v>
      </c>
      <c r="F1032" s="5" t="str">
        <f t="shared" ref="F1032:F1034" si="294">"男"</f>
        <v>男</v>
      </c>
      <c r="G1032" s="5" t="str">
        <f>"1974-04-02"</f>
        <v>1974-04-02</v>
      </c>
      <c r="H1032" s="5" t="str">
        <f>"穗华科技培训专修学院"</f>
        <v>穗华科技培训专修学院</v>
      </c>
    </row>
    <row r="1033" s="2" customFormat="1" ht="20" customHeight="1" spans="1:8">
      <c r="A1033" s="5">
        <v>1031</v>
      </c>
      <c r="B1033" s="5" t="str">
        <f>"223220191126083410212908"</f>
        <v>223220191126083410212908</v>
      </c>
      <c r="C1033" s="5" t="s">
        <v>41</v>
      </c>
      <c r="D1033" s="5" t="s">
        <v>42</v>
      </c>
      <c r="E1033" s="5" t="str">
        <f>"谢宗晨"</f>
        <v>谢宗晨</v>
      </c>
      <c r="F1033" s="5" t="str">
        <f t="shared" si="294"/>
        <v>男</v>
      </c>
      <c r="G1033" s="5" t="str">
        <f>"1986-09-02"</f>
        <v>1986-09-02</v>
      </c>
      <c r="H1033" s="5" t="str">
        <f>"青岛滨海学院"</f>
        <v>青岛滨海学院</v>
      </c>
    </row>
    <row r="1034" s="2" customFormat="1" ht="20" customHeight="1" spans="1:8">
      <c r="A1034" s="5">
        <v>1032</v>
      </c>
      <c r="B1034" s="5" t="str">
        <f>"223220191126090150212995"</f>
        <v>223220191126090150212995</v>
      </c>
      <c r="C1034" s="5" t="s">
        <v>41</v>
      </c>
      <c r="D1034" s="5" t="s">
        <v>42</v>
      </c>
      <c r="E1034" s="5" t="str">
        <f>"陈俊霖"</f>
        <v>陈俊霖</v>
      </c>
      <c r="F1034" s="5" t="str">
        <f t="shared" si="294"/>
        <v>男</v>
      </c>
      <c r="G1034" s="5" t="str">
        <f>"1997-02-23"</f>
        <v>1997-02-23</v>
      </c>
      <c r="H1034" s="5" t="str">
        <f>"海南政法职业学院"</f>
        <v>海南政法职业学院</v>
      </c>
    </row>
    <row r="1035" s="2" customFormat="1" ht="20" customHeight="1" spans="1:8">
      <c r="A1035" s="5">
        <v>1033</v>
      </c>
      <c r="B1035" s="5" t="str">
        <f>"223220191126093714213152"</f>
        <v>223220191126093714213152</v>
      </c>
      <c r="C1035" s="5" t="s">
        <v>41</v>
      </c>
      <c r="D1035" s="5" t="s">
        <v>42</v>
      </c>
      <c r="E1035" s="5" t="str">
        <f>"刘信倪"</f>
        <v>刘信倪</v>
      </c>
      <c r="F1035" s="5" t="str">
        <f>"女"</f>
        <v>女</v>
      </c>
      <c r="G1035" s="5" t="str">
        <f>"1990-03-28"</f>
        <v>1990-03-28</v>
      </c>
      <c r="H1035" s="5" t="str">
        <f>"乐山师范学院"</f>
        <v>乐山师范学院</v>
      </c>
    </row>
    <row r="1036" s="2" customFormat="1" ht="20" customHeight="1" spans="1:8">
      <c r="A1036" s="5">
        <v>1034</v>
      </c>
      <c r="B1036" s="5" t="str">
        <f>"223220191126094219213183"</f>
        <v>223220191126094219213183</v>
      </c>
      <c r="C1036" s="5" t="s">
        <v>41</v>
      </c>
      <c r="D1036" s="5" t="s">
        <v>42</v>
      </c>
      <c r="E1036" s="5" t="str">
        <f>"周仕程"</f>
        <v>周仕程</v>
      </c>
      <c r="F1036" s="5" t="str">
        <f t="shared" ref="F1036:F1038" si="295">"男"</f>
        <v>男</v>
      </c>
      <c r="G1036" s="5" t="str">
        <f>"1993-02-20"</f>
        <v>1993-02-20</v>
      </c>
      <c r="H1036" s="5" t="str">
        <f>"黑龙江财经学院"</f>
        <v>黑龙江财经学院</v>
      </c>
    </row>
    <row r="1037" s="2" customFormat="1" ht="20" customHeight="1" spans="1:8">
      <c r="A1037" s="5">
        <v>1035</v>
      </c>
      <c r="B1037" s="5" t="str">
        <f>"223220191126095641213238"</f>
        <v>223220191126095641213238</v>
      </c>
      <c r="C1037" s="5" t="s">
        <v>41</v>
      </c>
      <c r="D1037" s="5" t="s">
        <v>42</v>
      </c>
      <c r="E1037" s="5" t="str">
        <f>"陈国强"</f>
        <v>陈国强</v>
      </c>
      <c r="F1037" s="5" t="str">
        <f t="shared" si="295"/>
        <v>男</v>
      </c>
      <c r="G1037" s="5" t="str">
        <f>"1994-07-05"</f>
        <v>1994-07-05</v>
      </c>
      <c r="H1037" s="5" t="str">
        <f>"南昌工程学院"</f>
        <v>南昌工程学院</v>
      </c>
    </row>
    <row r="1038" s="2" customFormat="1" ht="20" customHeight="1" spans="1:8">
      <c r="A1038" s="5">
        <v>1036</v>
      </c>
      <c r="B1038" s="5" t="str">
        <f>"223220191126115348213642"</f>
        <v>223220191126115348213642</v>
      </c>
      <c r="C1038" s="5" t="s">
        <v>41</v>
      </c>
      <c r="D1038" s="5" t="s">
        <v>42</v>
      </c>
      <c r="E1038" s="5" t="str">
        <f>"黄有恒"</f>
        <v>黄有恒</v>
      </c>
      <c r="F1038" s="5" t="str">
        <f t="shared" si="295"/>
        <v>男</v>
      </c>
      <c r="G1038" s="5" t="str">
        <f>"1989-06-17"</f>
        <v>1989-06-17</v>
      </c>
      <c r="H1038" s="5" t="str">
        <f>"武汉纺织大学"</f>
        <v>武汉纺织大学</v>
      </c>
    </row>
    <row r="1039" s="2" customFormat="1" ht="20" customHeight="1" spans="1:8">
      <c r="A1039" s="5">
        <v>1037</v>
      </c>
      <c r="B1039" s="5" t="str">
        <f>"223220191126143120213938"</f>
        <v>223220191126143120213938</v>
      </c>
      <c r="C1039" s="5" t="s">
        <v>41</v>
      </c>
      <c r="D1039" s="5" t="s">
        <v>42</v>
      </c>
      <c r="E1039" s="5" t="str">
        <f>"王文月"</f>
        <v>王文月</v>
      </c>
      <c r="F1039" s="5" t="str">
        <f t="shared" ref="F1039:F1043" si="296">"女"</f>
        <v>女</v>
      </c>
      <c r="G1039" s="5" t="str">
        <f>"1985-10-01"</f>
        <v>1985-10-01</v>
      </c>
      <c r="H1039" s="5" t="str">
        <f>"海南软件职业技术学院"</f>
        <v>海南软件职业技术学院</v>
      </c>
    </row>
    <row r="1040" s="2" customFormat="1" ht="20" customHeight="1" spans="1:8">
      <c r="A1040" s="5">
        <v>1038</v>
      </c>
      <c r="B1040" s="5" t="str">
        <f>"223220191126145124213988"</f>
        <v>223220191126145124213988</v>
      </c>
      <c r="C1040" s="5" t="s">
        <v>41</v>
      </c>
      <c r="D1040" s="5" t="s">
        <v>42</v>
      </c>
      <c r="E1040" s="5" t="str">
        <f>"蔡楠材"</f>
        <v>蔡楠材</v>
      </c>
      <c r="F1040" s="5" t="str">
        <f t="shared" ref="F1040:F1045" si="297">"男"</f>
        <v>男</v>
      </c>
      <c r="G1040" s="5" t="str">
        <f>"1993-06-19"</f>
        <v>1993-06-19</v>
      </c>
      <c r="H1040" s="5" t="str">
        <f>"江西师范大学"</f>
        <v>江西师范大学</v>
      </c>
    </row>
    <row r="1041" s="2" customFormat="1" ht="20" customHeight="1" spans="1:8">
      <c r="A1041" s="5">
        <v>1039</v>
      </c>
      <c r="B1041" s="5" t="str">
        <f>"223220191126163130214211"</f>
        <v>223220191126163130214211</v>
      </c>
      <c r="C1041" s="5" t="s">
        <v>41</v>
      </c>
      <c r="D1041" s="5" t="s">
        <v>42</v>
      </c>
      <c r="E1041" s="5" t="str">
        <f>"陈秀娜"</f>
        <v>陈秀娜</v>
      </c>
      <c r="F1041" s="5" t="str">
        <f t="shared" ref="F1041:F1046" si="298">"女"</f>
        <v>女</v>
      </c>
      <c r="G1041" s="5" t="str">
        <f>"1986-02-27"</f>
        <v>1986-02-27</v>
      </c>
      <c r="H1041" s="5" t="str">
        <f>"海南职业技术学院"</f>
        <v>海南职业技术学院</v>
      </c>
    </row>
    <row r="1042" s="2" customFormat="1" ht="20" customHeight="1" spans="1:8">
      <c r="A1042" s="5">
        <v>1040</v>
      </c>
      <c r="B1042" s="5" t="str">
        <f>"223220191126164504214270"</f>
        <v>223220191126164504214270</v>
      </c>
      <c r="C1042" s="5" t="s">
        <v>41</v>
      </c>
      <c r="D1042" s="5" t="s">
        <v>42</v>
      </c>
      <c r="E1042" s="5" t="str">
        <f>"杨裕哲"</f>
        <v>杨裕哲</v>
      </c>
      <c r="F1042" s="5" t="str">
        <f t="shared" ref="F1042:F1045" si="299">"男"</f>
        <v>男</v>
      </c>
      <c r="G1042" s="5" t="str">
        <f>"1994-11-25"</f>
        <v>1994-11-25</v>
      </c>
      <c r="H1042" s="5" t="str">
        <f>"长春工业大学"</f>
        <v>长春工业大学</v>
      </c>
    </row>
    <row r="1043" s="2" customFormat="1" ht="20" customHeight="1" spans="1:8">
      <c r="A1043" s="5">
        <v>1041</v>
      </c>
      <c r="B1043" s="5" t="str">
        <f>"223220191126174357214385"</f>
        <v>223220191126174357214385</v>
      </c>
      <c r="C1043" s="5" t="s">
        <v>41</v>
      </c>
      <c r="D1043" s="5" t="s">
        <v>42</v>
      </c>
      <c r="E1043" s="5" t="str">
        <f>"朱含倩"</f>
        <v>朱含倩</v>
      </c>
      <c r="F1043" s="5" t="str">
        <f>"女"</f>
        <v>女</v>
      </c>
      <c r="G1043" s="5" t="str">
        <f>"1993-11-27"</f>
        <v>1993-11-27</v>
      </c>
      <c r="H1043" s="5" t="str">
        <f>"海南政法职业学院"</f>
        <v>海南政法职业学院</v>
      </c>
    </row>
    <row r="1044" s="2" customFormat="1" ht="20" customHeight="1" spans="1:8">
      <c r="A1044" s="5">
        <v>1042</v>
      </c>
      <c r="B1044" s="5" t="str">
        <f>"223220191126181619214446"</f>
        <v>223220191126181619214446</v>
      </c>
      <c r="C1044" s="5" t="s">
        <v>41</v>
      </c>
      <c r="D1044" s="5" t="s">
        <v>42</v>
      </c>
      <c r="E1044" s="5" t="str">
        <f>"陈敏珑"</f>
        <v>陈敏珑</v>
      </c>
      <c r="F1044" s="5" t="str">
        <f>"男"</f>
        <v>男</v>
      </c>
      <c r="G1044" s="5" t="str">
        <f>"1994-11-24"</f>
        <v>1994-11-24</v>
      </c>
      <c r="H1044" s="5" t="str">
        <f>"齐齐哈尔大学"</f>
        <v>齐齐哈尔大学</v>
      </c>
    </row>
    <row r="1045" s="2" customFormat="1" ht="20" customHeight="1" spans="1:8">
      <c r="A1045" s="5">
        <v>1043</v>
      </c>
      <c r="B1045" s="5" t="str">
        <f>"223220191126182258214461"</f>
        <v>223220191126182258214461</v>
      </c>
      <c r="C1045" s="5" t="s">
        <v>41</v>
      </c>
      <c r="D1045" s="5" t="s">
        <v>42</v>
      </c>
      <c r="E1045" s="5" t="str">
        <f>"吴定盛"</f>
        <v>吴定盛</v>
      </c>
      <c r="F1045" s="5" t="str">
        <f>"男"</f>
        <v>男</v>
      </c>
      <c r="G1045" s="5" t="str">
        <f>"1997-07-25"</f>
        <v>1997-07-25</v>
      </c>
      <c r="H1045" s="5" t="str">
        <f>"南昌工学院"</f>
        <v>南昌工学院</v>
      </c>
    </row>
    <row r="1046" s="2" customFormat="1" ht="20" customHeight="1" spans="1:8">
      <c r="A1046" s="5">
        <v>1044</v>
      </c>
      <c r="B1046" s="5" t="str">
        <f>"223220191126192027214537"</f>
        <v>223220191126192027214537</v>
      </c>
      <c r="C1046" s="5" t="s">
        <v>41</v>
      </c>
      <c r="D1046" s="5" t="s">
        <v>42</v>
      </c>
      <c r="E1046" s="5" t="str">
        <f>"薛选金"</f>
        <v>薛选金</v>
      </c>
      <c r="F1046" s="5" t="str">
        <f>"女"</f>
        <v>女</v>
      </c>
      <c r="G1046" s="5" t="str">
        <f>"1996-02-27"</f>
        <v>1996-02-27</v>
      </c>
      <c r="H1046" s="5" t="str">
        <f>"中北大学"</f>
        <v>中北大学</v>
      </c>
    </row>
    <row r="1047" s="2" customFormat="1" ht="20" customHeight="1" spans="1:8">
      <c r="A1047" s="5">
        <v>1045</v>
      </c>
      <c r="B1047" s="5" t="str">
        <f>"223220191126192955214551"</f>
        <v>223220191126192955214551</v>
      </c>
      <c r="C1047" s="5" t="s">
        <v>41</v>
      </c>
      <c r="D1047" s="5" t="s">
        <v>42</v>
      </c>
      <c r="E1047" s="5" t="str">
        <f>"符壮核"</f>
        <v>符壮核</v>
      </c>
      <c r="F1047" s="5" t="str">
        <f t="shared" ref="F1047:F1051" si="300">"男"</f>
        <v>男</v>
      </c>
      <c r="G1047" s="5" t="str">
        <f>"1990-01-03"</f>
        <v>1990-01-03</v>
      </c>
      <c r="H1047" s="5" t="str">
        <f>"华东交通大学"</f>
        <v>华东交通大学</v>
      </c>
    </row>
    <row r="1048" s="2" customFormat="1" ht="20" customHeight="1" spans="1:8">
      <c r="A1048" s="5">
        <v>1046</v>
      </c>
      <c r="B1048" s="5" t="str">
        <f>"223220191126203113214661"</f>
        <v>223220191126203113214661</v>
      </c>
      <c r="C1048" s="5" t="s">
        <v>41</v>
      </c>
      <c r="D1048" s="5" t="s">
        <v>42</v>
      </c>
      <c r="E1048" s="5" t="str">
        <f>"吴文霞"</f>
        <v>吴文霞</v>
      </c>
      <c r="F1048" s="5" t="str">
        <f t="shared" ref="F1048:F1053" si="301">"女"</f>
        <v>女</v>
      </c>
      <c r="G1048" s="5" t="str">
        <f>"1995-08-26"</f>
        <v>1995-08-26</v>
      </c>
      <c r="H1048" s="5" t="str">
        <f>"海南政法职业学院"</f>
        <v>海南政法职业学院</v>
      </c>
    </row>
    <row r="1049" s="2" customFormat="1" ht="20" customHeight="1" spans="1:8">
      <c r="A1049" s="5">
        <v>1047</v>
      </c>
      <c r="B1049" s="5" t="str">
        <f>"223220191126212217214762"</f>
        <v>223220191126212217214762</v>
      </c>
      <c r="C1049" s="5" t="s">
        <v>41</v>
      </c>
      <c r="D1049" s="5" t="s">
        <v>42</v>
      </c>
      <c r="E1049" s="5" t="str">
        <f>"唐友鹏"</f>
        <v>唐友鹏</v>
      </c>
      <c r="F1049" s="5" t="str">
        <f t="shared" ref="F1049:F1051" si="302">"男"</f>
        <v>男</v>
      </c>
      <c r="G1049" s="5" t="str">
        <f>"1991-03-26"</f>
        <v>1991-03-26</v>
      </c>
      <c r="H1049" s="5" t="str">
        <f>"武汉生物工程学院"</f>
        <v>武汉生物工程学院</v>
      </c>
    </row>
    <row r="1050" s="2" customFormat="1" ht="20" customHeight="1" spans="1:8">
      <c r="A1050" s="5">
        <v>1048</v>
      </c>
      <c r="B1050" s="5" t="str">
        <f>"223220191126221151214846"</f>
        <v>223220191126221151214846</v>
      </c>
      <c r="C1050" s="5" t="s">
        <v>41</v>
      </c>
      <c r="D1050" s="5" t="s">
        <v>42</v>
      </c>
      <c r="E1050" s="5" t="str">
        <f>"徐汉武"</f>
        <v>徐汉武</v>
      </c>
      <c r="F1050" s="5" t="str">
        <f t="shared" si="302"/>
        <v>男</v>
      </c>
      <c r="G1050" s="5" t="str">
        <f>"1988-08-15"</f>
        <v>1988-08-15</v>
      </c>
      <c r="H1050" s="5" t="str">
        <f>"武汉生物工程学院"</f>
        <v>武汉生物工程学院</v>
      </c>
    </row>
    <row r="1051" s="2" customFormat="1" ht="20" customHeight="1" spans="1:8">
      <c r="A1051" s="5">
        <v>1049</v>
      </c>
      <c r="B1051" s="5" t="str">
        <f>"223220191126223846214891"</f>
        <v>223220191126223846214891</v>
      </c>
      <c r="C1051" s="5" t="s">
        <v>41</v>
      </c>
      <c r="D1051" s="5" t="s">
        <v>42</v>
      </c>
      <c r="E1051" s="5" t="str">
        <f>"陈奇亮"</f>
        <v>陈奇亮</v>
      </c>
      <c r="F1051" s="5" t="str">
        <f t="shared" si="302"/>
        <v>男</v>
      </c>
      <c r="G1051" s="5" t="str">
        <f>"1997-05-26"</f>
        <v>1997-05-26</v>
      </c>
      <c r="H1051" s="5" t="str">
        <f>"上海工商职业技术学院"</f>
        <v>上海工商职业技术学院</v>
      </c>
    </row>
    <row r="1052" s="2" customFormat="1" ht="20" customHeight="1" spans="1:8">
      <c r="A1052" s="5">
        <v>1050</v>
      </c>
      <c r="B1052" s="5" t="str">
        <f>"223220191126224709214907"</f>
        <v>223220191126224709214907</v>
      </c>
      <c r="C1052" s="5" t="s">
        <v>41</v>
      </c>
      <c r="D1052" s="5" t="s">
        <v>42</v>
      </c>
      <c r="E1052" s="5" t="str">
        <f>"陈慧樱"</f>
        <v>陈慧樱</v>
      </c>
      <c r="F1052" s="5" t="str">
        <f>"女"</f>
        <v>女</v>
      </c>
      <c r="G1052" s="5" t="str">
        <f>"1989-06-25"</f>
        <v>1989-06-25</v>
      </c>
      <c r="H1052" s="5" t="str">
        <f>"新余学院"</f>
        <v>新余学院</v>
      </c>
    </row>
    <row r="1053" s="2" customFormat="1" ht="20" customHeight="1" spans="1:8">
      <c r="A1053" s="5">
        <v>1051</v>
      </c>
      <c r="B1053" s="5" t="str">
        <f>"223220191126230104214920"</f>
        <v>223220191126230104214920</v>
      </c>
      <c r="C1053" s="5" t="s">
        <v>41</v>
      </c>
      <c r="D1053" s="5" t="s">
        <v>42</v>
      </c>
      <c r="E1053" s="5" t="str">
        <f>"周成虹"</f>
        <v>周成虹</v>
      </c>
      <c r="F1053" s="5" t="str">
        <f>"女"</f>
        <v>女</v>
      </c>
      <c r="G1053" s="5" t="str">
        <f>"1988-08-22"</f>
        <v>1988-08-22</v>
      </c>
      <c r="H1053" s="5" t="str">
        <f>"海南师范大学"</f>
        <v>海南师范大学</v>
      </c>
    </row>
    <row r="1054" s="2" customFormat="1" ht="20" customHeight="1" spans="1:8">
      <c r="A1054" s="5">
        <v>1052</v>
      </c>
      <c r="B1054" s="5" t="str">
        <f>"223220191126232243214933"</f>
        <v>223220191126232243214933</v>
      </c>
      <c r="C1054" s="5" t="s">
        <v>41</v>
      </c>
      <c r="D1054" s="5" t="s">
        <v>42</v>
      </c>
      <c r="E1054" s="5" t="str">
        <f>"李玉贵"</f>
        <v>李玉贵</v>
      </c>
      <c r="F1054" s="5" t="str">
        <f t="shared" ref="F1054:F1057" si="303">"男"</f>
        <v>男</v>
      </c>
      <c r="G1054" s="5" t="str">
        <f>"1993-02-20"</f>
        <v>1993-02-20</v>
      </c>
      <c r="H1054" s="5" t="str">
        <f>"山东交通学院"</f>
        <v>山东交通学院</v>
      </c>
    </row>
    <row r="1055" s="2" customFormat="1" ht="20" customHeight="1" spans="1:8">
      <c r="A1055" s="5">
        <v>1053</v>
      </c>
      <c r="B1055" s="5" t="str">
        <f>"223220191127085033215035"</f>
        <v>223220191127085033215035</v>
      </c>
      <c r="C1055" s="5" t="s">
        <v>41</v>
      </c>
      <c r="D1055" s="5" t="s">
        <v>42</v>
      </c>
      <c r="E1055" s="5" t="str">
        <f>"张日丰"</f>
        <v>张日丰</v>
      </c>
      <c r="F1055" s="5" t="str">
        <f t="shared" si="303"/>
        <v>男</v>
      </c>
      <c r="G1055" s="5" t="str">
        <f>"1995-12-15"</f>
        <v>1995-12-15</v>
      </c>
      <c r="H1055" s="5" t="str">
        <f>"右江民族医学院"</f>
        <v>右江民族医学院</v>
      </c>
    </row>
    <row r="1056" s="2" customFormat="1" ht="20" customHeight="1" spans="1:8">
      <c r="A1056" s="5">
        <v>1054</v>
      </c>
      <c r="B1056" s="5" t="str">
        <f>"223220191127093535215128"</f>
        <v>223220191127093535215128</v>
      </c>
      <c r="C1056" s="5" t="s">
        <v>41</v>
      </c>
      <c r="D1056" s="5" t="s">
        <v>42</v>
      </c>
      <c r="E1056" s="5" t="str">
        <f>"洪文妍"</f>
        <v>洪文妍</v>
      </c>
      <c r="F1056" s="5" t="str">
        <f t="shared" ref="F1056:F1062" si="304">"女"</f>
        <v>女</v>
      </c>
      <c r="G1056" s="5" t="str">
        <f>"1996-07-06"</f>
        <v>1996-07-06</v>
      </c>
      <c r="H1056" s="5" t="str">
        <f>"贵州师范学院"</f>
        <v>贵州师范学院</v>
      </c>
    </row>
    <row r="1057" s="2" customFormat="1" ht="20" customHeight="1" spans="1:8">
      <c r="A1057" s="5">
        <v>1055</v>
      </c>
      <c r="B1057" s="5" t="str">
        <f>"223220191127151213215603"</f>
        <v>223220191127151213215603</v>
      </c>
      <c r="C1057" s="5" t="s">
        <v>41</v>
      </c>
      <c r="D1057" s="5" t="s">
        <v>42</v>
      </c>
      <c r="E1057" s="5" t="str">
        <f>"谢建候"</f>
        <v>谢建候</v>
      </c>
      <c r="F1057" s="5" t="str">
        <f>"男"</f>
        <v>男</v>
      </c>
      <c r="G1057" s="5" t="str">
        <f>"1989-10-19"</f>
        <v>1989-10-19</v>
      </c>
      <c r="H1057" s="5" t="str">
        <f>"南昌大学"</f>
        <v>南昌大学</v>
      </c>
    </row>
    <row r="1058" s="2" customFormat="1" ht="20" customHeight="1" spans="1:8">
      <c r="A1058" s="5">
        <v>1056</v>
      </c>
      <c r="B1058" s="5" t="str">
        <f>"223220191127154659215657"</f>
        <v>223220191127154659215657</v>
      </c>
      <c r="C1058" s="5" t="s">
        <v>41</v>
      </c>
      <c r="D1058" s="5" t="s">
        <v>42</v>
      </c>
      <c r="E1058" s="5" t="str">
        <f>"林润美"</f>
        <v>林润美</v>
      </c>
      <c r="F1058" s="5" t="str">
        <f t="shared" ref="F1058:F1062" si="305">"女"</f>
        <v>女</v>
      </c>
      <c r="G1058" s="5" t="str">
        <f>"1994-03-21"</f>
        <v>1994-03-21</v>
      </c>
      <c r="H1058" s="5" t="str">
        <f>"海南热带海洋学院"</f>
        <v>海南热带海洋学院</v>
      </c>
    </row>
    <row r="1059" s="2" customFormat="1" ht="20" customHeight="1" spans="1:8">
      <c r="A1059" s="5">
        <v>1057</v>
      </c>
      <c r="B1059" s="5" t="str">
        <f>"223220191127181633215889"</f>
        <v>223220191127181633215889</v>
      </c>
      <c r="C1059" s="5" t="s">
        <v>41</v>
      </c>
      <c r="D1059" s="5" t="s">
        <v>42</v>
      </c>
      <c r="E1059" s="5" t="str">
        <f>"欧积进"</f>
        <v>欧积进</v>
      </c>
      <c r="F1059" s="5" t="str">
        <f t="shared" ref="F1059:F1063" si="306">"男"</f>
        <v>男</v>
      </c>
      <c r="G1059" s="5" t="str">
        <f>"1996-02-05"</f>
        <v>1996-02-05</v>
      </c>
      <c r="H1059" s="5" t="str">
        <f>"南开大学"</f>
        <v>南开大学</v>
      </c>
    </row>
    <row r="1060" s="2" customFormat="1" ht="20" customHeight="1" spans="1:8">
      <c r="A1060" s="5">
        <v>1058</v>
      </c>
      <c r="B1060" s="5" t="str">
        <f>"223220191127203206216052"</f>
        <v>223220191127203206216052</v>
      </c>
      <c r="C1060" s="5" t="s">
        <v>41</v>
      </c>
      <c r="D1060" s="5" t="s">
        <v>42</v>
      </c>
      <c r="E1060" s="5" t="str">
        <f>"黄刚"</f>
        <v>黄刚</v>
      </c>
      <c r="F1060" s="5" t="str">
        <f t="shared" si="306"/>
        <v>男</v>
      </c>
      <c r="G1060" s="5" t="str">
        <f>"1991-09-03"</f>
        <v>1991-09-03</v>
      </c>
      <c r="H1060" s="5" t="str">
        <f>"沈阳大学"</f>
        <v>沈阳大学</v>
      </c>
    </row>
    <row r="1061" s="2" customFormat="1" ht="20" customHeight="1" spans="1:8">
      <c r="A1061" s="5">
        <v>1059</v>
      </c>
      <c r="B1061" s="5" t="str">
        <f>"223220191127205418216081"</f>
        <v>223220191127205418216081</v>
      </c>
      <c r="C1061" s="5" t="s">
        <v>41</v>
      </c>
      <c r="D1061" s="5" t="s">
        <v>42</v>
      </c>
      <c r="E1061" s="5" t="str">
        <f>"李倩"</f>
        <v>李倩</v>
      </c>
      <c r="F1061" s="5" t="str">
        <f>"女"</f>
        <v>女</v>
      </c>
      <c r="G1061" s="5" t="str">
        <f>"1996-12-21"</f>
        <v>1996-12-21</v>
      </c>
      <c r="H1061" s="5" t="str">
        <f>"忻州师范学院"</f>
        <v>忻州师范学院</v>
      </c>
    </row>
    <row r="1062" s="2" customFormat="1" ht="20" customHeight="1" spans="1:8">
      <c r="A1062" s="5">
        <v>1060</v>
      </c>
      <c r="B1062" s="5" t="str">
        <f>"223220191127205852216087"</f>
        <v>223220191127205852216087</v>
      </c>
      <c r="C1062" s="5" t="s">
        <v>41</v>
      </c>
      <c r="D1062" s="5" t="s">
        <v>42</v>
      </c>
      <c r="E1062" s="5" t="str">
        <f>"郭宏茜"</f>
        <v>郭宏茜</v>
      </c>
      <c r="F1062" s="5" t="str">
        <f>"女"</f>
        <v>女</v>
      </c>
      <c r="G1062" s="5" t="str">
        <f>"1987-04-24"</f>
        <v>1987-04-24</v>
      </c>
      <c r="H1062" s="5" t="str">
        <f>"海南琼州学院"</f>
        <v>海南琼州学院</v>
      </c>
    </row>
    <row r="1063" s="2" customFormat="1" ht="20" customHeight="1" spans="1:8">
      <c r="A1063" s="5">
        <v>1061</v>
      </c>
      <c r="B1063" s="5" t="str">
        <f>"223220191127205920216089"</f>
        <v>223220191127205920216089</v>
      </c>
      <c r="C1063" s="5" t="s">
        <v>41</v>
      </c>
      <c r="D1063" s="5" t="s">
        <v>42</v>
      </c>
      <c r="E1063" s="5" t="str">
        <f>"郑祖扶"</f>
        <v>郑祖扶</v>
      </c>
      <c r="F1063" s="5" t="str">
        <f>"男"</f>
        <v>男</v>
      </c>
      <c r="G1063" s="5" t="str">
        <f>"1993-10-02"</f>
        <v>1993-10-02</v>
      </c>
      <c r="H1063" s="5" t="str">
        <f>"琼州学院"</f>
        <v>琼州学院</v>
      </c>
    </row>
    <row r="1064" s="2" customFormat="1" ht="20" customHeight="1" spans="1:8">
      <c r="A1064" s="5">
        <v>1062</v>
      </c>
      <c r="B1064" s="5" t="str">
        <f>"223220191127220642216180"</f>
        <v>223220191127220642216180</v>
      </c>
      <c r="C1064" s="5" t="s">
        <v>41</v>
      </c>
      <c r="D1064" s="5" t="s">
        <v>42</v>
      </c>
      <c r="E1064" s="5" t="str">
        <f>"万芳玲"</f>
        <v>万芳玲</v>
      </c>
      <c r="F1064" s="5" t="str">
        <f t="shared" ref="F1064:F1069" si="307">"女"</f>
        <v>女</v>
      </c>
      <c r="G1064" s="5" t="str">
        <f>"1996-10-21"</f>
        <v>1996-10-21</v>
      </c>
      <c r="H1064" s="5" t="str">
        <f>"南昌职业学院"</f>
        <v>南昌职业学院</v>
      </c>
    </row>
    <row r="1065" s="2" customFormat="1" ht="20" customHeight="1" spans="1:8">
      <c r="A1065" s="5">
        <v>1063</v>
      </c>
      <c r="B1065" s="5" t="str">
        <f>"223220191128004315216279"</f>
        <v>223220191128004315216279</v>
      </c>
      <c r="C1065" s="5" t="s">
        <v>41</v>
      </c>
      <c r="D1065" s="5" t="s">
        <v>42</v>
      </c>
      <c r="E1065" s="5" t="str">
        <f>"李应科"</f>
        <v>李应科</v>
      </c>
      <c r="F1065" s="5" t="str">
        <f t="shared" ref="F1065:F1070" si="308">"男"</f>
        <v>男</v>
      </c>
      <c r="G1065" s="5" t="str">
        <f>"1986-08-31"</f>
        <v>1986-08-31</v>
      </c>
      <c r="H1065" s="5" t="str">
        <f>"琼台师范高等专科学校"</f>
        <v>琼台师范高等专科学校</v>
      </c>
    </row>
    <row r="1066" s="2" customFormat="1" ht="20" customHeight="1" spans="1:8">
      <c r="A1066" s="5">
        <v>1064</v>
      </c>
      <c r="B1066" s="5" t="str">
        <f>"223220191128020044216286"</f>
        <v>223220191128020044216286</v>
      </c>
      <c r="C1066" s="5" t="s">
        <v>41</v>
      </c>
      <c r="D1066" s="5" t="s">
        <v>42</v>
      </c>
      <c r="E1066" s="5" t="str">
        <f>"黄家丽"</f>
        <v>黄家丽</v>
      </c>
      <c r="F1066" s="5" t="str">
        <f t="shared" ref="F1066:F1069" si="309">"女"</f>
        <v>女</v>
      </c>
      <c r="G1066" s="5" t="str">
        <f>"1996-11-18"</f>
        <v>1996-11-18</v>
      </c>
      <c r="H1066" s="5" t="str">
        <f>"云南警官学院"</f>
        <v>云南警官学院</v>
      </c>
    </row>
    <row r="1067" s="2" customFormat="1" ht="20" customHeight="1" spans="1:8">
      <c r="A1067" s="5">
        <v>1065</v>
      </c>
      <c r="B1067" s="5" t="str">
        <f>"223220191128030314216287"</f>
        <v>223220191128030314216287</v>
      </c>
      <c r="C1067" s="5" t="s">
        <v>41</v>
      </c>
      <c r="D1067" s="5" t="s">
        <v>42</v>
      </c>
      <c r="E1067" s="5" t="str">
        <f>"郑杰波"</f>
        <v>郑杰波</v>
      </c>
      <c r="F1067" s="5" t="str">
        <f>"男"</f>
        <v>男</v>
      </c>
      <c r="G1067" s="5" t="str">
        <f>"1984-10-12"</f>
        <v>1984-10-12</v>
      </c>
      <c r="H1067" s="5" t="str">
        <f>"湖南涉外经济学院"</f>
        <v>湖南涉外经济学院</v>
      </c>
    </row>
    <row r="1068" s="2" customFormat="1" ht="20" customHeight="1" spans="1:8">
      <c r="A1068" s="5">
        <v>1066</v>
      </c>
      <c r="B1068" s="5" t="str">
        <f>"223220191128093144216385"</f>
        <v>223220191128093144216385</v>
      </c>
      <c r="C1068" s="5" t="s">
        <v>41</v>
      </c>
      <c r="D1068" s="5" t="s">
        <v>42</v>
      </c>
      <c r="E1068" s="5" t="str">
        <f>"符玉坤"</f>
        <v>符玉坤</v>
      </c>
      <c r="F1068" s="5" t="str">
        <f>"女"</f>
        <v>女</v>
      </c>
      <c r="G1068" s="5" t="str">
        <f>"1996-07-14"</f>
        <v>1996-07-14</v>
      </c>
      <c r="H1068" s="5" t="str">
        <f>"海南外国语职业学院"</f>
        <v>海南外国语职业学院</v>
      </c>
    </row>
    <row r="1069" s="2" customFormat="1" ht="20" customHeight="1" spans="1:8">
      <c r="A1069" s="5">
        <v>1067</v>
      </c>
      <c r="B1069" s="5" t="str">
        <f>"223220191128093439216392"</f>
        <v>223220191128093439216392</v>
      </c>
      <c r="C1069" s="5" t="s">
        <v>41</v>
      </c>
      <c r="D1069" s="5" t="s">
        <v>42</v>
      </c>
      <c r="E1069" s="5" t="str">
        <f>"刘教风"</f>
        <v>刘教风</v>
      </c>
      <c r="F1069" s="5" t="str">
        <f>"女"</f>
        <v>女</v>
      </c>
      <c r="G1069" s="5" t="str">
        <f>"1992-11-08"</f>
        <v>1992-11-08</v>
      </c>
      <c r="H1069" s="5" t="str">
        <f>"湖南理工学院"</f>
        <v>湖南理工学院</v>
      </c>
    </row>
    <row r="1070" s="2" customFormat="1" ht="20" customHeight="1" spans="1:8">
      <c r="A1070" s="5">
        <v>1068</v>
      </c>
      <c r="B1070" s="5" t="str">
        <f>"223220191128130434216673"</f>
        <v>223220191128130434216673</v>
      </c>
      <c r="C1070" s="5" t="s">
        <v>41</v>
      </c>
      <c r="D1070" s="5" t="s">
        <v>42</v>
      </c>
      <c r="E1070" s="5" t="str">
        <f>"杨壮仁"</f>
        <v>杨壮仁</v>
      </c>
      <c r="F1070" s="5" t="str">
        <f t="shared" ref="F1070:F1075" si="310">"男"</f>
        <v>男</v>
      </c>
      <c r="G1070" s="5" t="str">
        <f>"1994-04-06"</f>
        <v>1994-04-06</v>
      </c>
      <c r="H1070" s="5" t="str">
        <f>"湖南工业大学"</f>
        <v>湖南工业大学</v>
      </c>
    </row>
    <row r="1071" s="2" customFormat="1" ht="20" customHeight="1" spans="1:8">
      <c r="A1071" s="5">
        <v>1069</v>
      </c>
      <c r="B1071" s="5" t="str">
        <f>"223220191128143601216779"</f>
        <v>223220191128143601216779</v>
      </c>
      <c r="C1071" s="5" t="s">
        <v>41</v>
      </c>
      <c r="D1071" s="5" t="s">
        <v>42</v>
      </c>
      <c r="E1071" s="5" t="str">
        <f>"苏军梅"</f>
        <v>苏军梅</v>
      </c>
      <c r="F1071" s="5" t="str">
        <f t="shared" ref="F1071:F1078" si="311">"女"</f>
        <v>女</v>
      </c>
      <c r="G1071" s="5" t="str">
        <f>"1997-03-10"</f>
        <v>1997-03-10</v>
      </c>
      <c r="H1071" s="5" t="str">
        <f>"海南经贸职业技术学院"</f>
        <v>海南经贸职业技术学院</v>
      </c>
    </row>
    <row r="1072" s="2" customFormat="1" ht="20" customHeight="1" spans="1:8">
      <c r="A1072" s="5">
        <v>1070</v>
      </c>
      <c r="B1072" s="5" t="str">
        <f>"223220191128150113216816"</f>
        <v>223220191128150113216816</v>
      </c>
      <c r="C1072" s="5" t="s">
        <v>41</v>
      </c>
      <c r="D1072" s="5" t="s">
        <v>42</v>
      </c>
      <c r="E1072" s="5" t="str">
        <f>"王耀政"</f>
        <v>王耀政</v>
      </c>
      <c r="F1072" s="5" t="str">
        <f t="shared" ref="F1072:F1075" si="312">"男"</f>
        <v>男</v>
      </c>
      <c r="G1072" s="5" t="str">
        <f>"1993-08-20"</f>
        <v>1993-08-20</v>
      </c>
      <c r="H1072" s="5" t="str">
        <f>"湖南人文科技学院"</f>
        <v>湖南人文科技学院</v>
      </c>
    </row>
    <row r="1073" s="2" customFormat="1" ht="20" customHeight="1" spans="1:8">
      <c r="A1073" s="5">
        <v>1071</v>
      </c>
      <c r="B1073" s="5" t="str">
        <f>"223220191128151523216840"</f>
        <v>223220191128151523216840</v>
      </c>
      <c r="C1073" s="5" t="s">
        <v>41</v>
      </c>
      <c r="D1073" s="5" t="s">
        <v>42</v>
      </c>
      <c r="E1073" s="5" t="str">
        <f>"万琼"</f>
        <v>万琼</v>
      </c>
      <c r="F1073" s="5" t="str">
        <f t="shared" ref="F1073:F1078" si="313">"女"</f>
        <v>女</v>
      </c>
      <c r="G1073" s="5" t="str">
        <f>"1990-05-31"</f>
        <v>1990-05-31</v>
      </c>
      <c r="H1073" s="5" t="str">
        <f>"琼台师范高等专科学校"</f>
        <v>琼台师范高等专科学校</v>
      </c>
    </row>
    <row r="1074" s="2" customFormat="1" ht="20" customHeight="1" spans="1:8">
      <c r="A1074" s="5">
        <v>1072</v>
      </c>
      <c r="B1074" s="5" t="str">
        <f>"223220191128153439216878"</f>
        <v>223220191128153439216878</v>
      </c>
      <c r="C1074" s="5" t="s">
        <v>41</v>
      </c>
      <c r="D1074" s="5" t="s">
        <v>42</v>
      </c>
      <c r="E1074" s="5" t="str">
        <f>"陈有德"</f>
        <v>陈有德</v>
      </c>
      <c r="F1074" s="5" t="str">
        <f>"男"</f>
        <v>男</v>
      </c>
      <c r="G1074" s="5" t="str">
        <f>"1994-02-16"</f>
        <v>1994-02-16</v>
      </c>
      <c r="H1074" s="5" t="str">
        <f>"海南大学"</f>
        <v>海南大学</v>
      </c>
    </row>
    <row r="1075" s="2" customFormat="1" ht="20" customHeight="1" spans="1:8">
      <c r="A1075" s="5">
        <v>1073</v>
      </c>
      <c r="B1075" s="5" t="str">
        <f>"223220191128161658216938"</f>
        <v>223220191128161658216938</v>
      </c>
      <c r="C1075" s="5" t="s">
        <v>41</v>
      </c>
      <c r="D1075" s="5" t="s">
        <v>42</v>
      </c>
      <c r="E1075" s="5" t="str">
        <f>"吴国邦"</f>
        <v>吴国邦</v>
      </c>
      <c r="F1075" s="5" t="str">
        <f>"男"</f>
        <v>男</v>
      </c>
      <c r="G1075" s="5" t="str">
        <f>"1997-05-07"</f>
        <v>1997-05-07</v>
      </c>
      <c r="H1075" s="5" t="str">
        <f>"四川成都文理学院"</f>
        <v>四川成都文理学院</v>
      </c>
    </row>
    <row r="1076" s="2" customFormat="1" ht="20" customHeight="1" spans="1:8">
      <c r="A1076" s="5">
        <v>1074</v>
      </c>
      <c r="B1076" s="5" t="str">
        <f>"223220191128171435217004"</f>
        <v>223220191128171435217004</v>
      </c>
      <c r="C1076" s="5" t="s">
        <v>41</v>
      </c>
      <c r="D1076" s="5" t="s">
        <v>42</v>
      </c>
      <c r="E1076" s="5" t="str">
        <f>"苏春丽"</f>
        <v>苏春丽</v>
      </c>
      <c r="F1076" s="5" t="str">
        <f>"女"</f>
        <v>女</v>
      </c>
      <c r="G1076" s="5" t="str">
        <f>"1994-03-20"</f>
        <v>1994-03-20</v>
      </c>
      <c r="H1076" s="5" t="str">
        <f>"琼台师范学院"</f>
        <v>琼台师范学院</v>
      </c>
    </row>
    <row r="1077" s="2" customFormat="1" ht="20" customHeight="1" spans="1:8">
      <c r="A1077" s="5">
        <v>1075</v>
      </c>
      <c r="B1077" s="5" t="str">
        <f>"223220191128193722217113"</f>
        <v>223220191128193722217113</v>
      </c>
      <c r="C1077" s="5" t="s">
        <v>41</v>
      </c>
      <c r="D1077" s="5" t="s">
        <v>42</v>
      </c>
      <c r="E1077" s="5" t="str">
        <f>"郭立红"</f>
        <v>郭立红</v>
      </c>
      <c r="F1077" s="5" t="str">
        <f>"女"</f>
        <v>女</v>
      </c>
      <c r="G1077" s="5" t="str">
        <f>"1994-01-01"</f>
        <v>1994-01-01</v>
      </c>
      <c r="H1077" s="5" t="str">
        <f>"海南省海口市琼台师范学院"</f>
        <v>海南省海口市琼台师范学院</v>
      </c>
    </row>
    <row r="1078" s="2" customFormat="1" ht="20" customHeight="1" spans="1:8">
      <c r="A1078" s="5">
        <v>1076</v>
      </c>
      <c r="B1078" s="5" t="str">
        <f>"223220191128195044217125"</f>
        <v>223220191128195044217125</v>
      </c>
      <c r="C1078" s="5" t="s">
        <v>41</v>
      </c>
      <c r="D1078" s="5" t="s">
        <v>42</v>
      </c>
      <c r="E1078" s="5" t="str">
        <f>"王石香"</f>
        <v>王石香</v>
      </c>
      <c r="F1078" s="5" t="str">
        <f>"女"</f>
        <v>女</v>
      </c>
      <c r="G1078" s="5" t="str">
        <f>"1996-11-07"</f>
        <v>1996-11-07</v>
      </c>
      <c r="H1078" s="5" t="str">
        <f>"河北工程大学"</f>
        <v>河北工程大学</v>
      </c>
    </row>
    <row r="1079" s="2" customFormat="1" ht="20" customHeight="1" spans="1:8">
      <c r="A1079" s="5">
        <v>1077</v>
      </c>
      <c r="B1079" s="5" t="str">
        <f>"223220191128200645217134"</f>
        <v>223220191128200645217134</v>
      </c>
      <c r="C1079" s="5" t="s">
        <v>41</v>
      </c>
      <c r="D1079" s="5" t="s">
        <v>42</v>
      </c>
      <c r="E1079" s="5" t="str">
        <f>"周英才"</f>
        <v>周英才</v>
      </c>
      <c r="F1079" s="5" t="str">
        <f t="shared" ref="F1079:F1082" si="314">"男"</f>
        <v>男</v>
      </c>
      <c r="G1079" s="5" t="str">
        <f>"1989-03-21"</f>
        <v>1989-03-21</v>
      </c>
      <c r="H1079" s="5" t="str">
        <f>"四川化工职业技术学院"</f>
        <v>四川化工职业技术学院</v>
      </c>
    </row>
    <row r="1080" s="2" customFormat="1" ht="20" customHeight="1" spans="1:8">
      <c r="A1080" s="5">
        <v>1078</v>
      </c>
      <c r="B1080" s="5" t="str">
        <f>"223220191128220023217219"</f>
        <v>223220191128220023217219</v>
      </c>
      <c r="C1080" s="5" t="s">
        <v>41</v>
      </c>
      <c r="D1080" s="5" t="s">
        <v>42</v>
      </c>
      <c r="E1080" s="5" t="str">
        <f>"陈芳元"</f>
        <v>陈芳元</v>
      </c>
      <c r="F1080" s="5" t="str">
        <f t="shared" si="314"/>
        <v>男</v>
      </c>
      <c r="G1080" s="5" t="str">
        <f>"1989-09-16"</f>
        <v>1989-09-16</v>
      </c>
      <c r="H1080" s="5" t="str">
        <f>"军械工程学院"</f>
        <v>军械工程学院</v>
      </c>
    </row>
    <row r="1081" s="2" customFormat="1" ht="20" customHeight="1" spans="1:8">
      <c r="A1081" s="5">
        <v>1079</v>
      </c>
      <c r="B1081" s="5" t="str">
        <f>"223220191129020912217306"</f>
        <v>223220191129020912217306</v>
      </c>
      <c r="C1081" s="5" t="s">
        <v>41</v>
      </c>
      <c r="D1081" s="5" t="s">
        <v>42</v>
      </c>
      <c r="E1081" s="5" t="str">
        <f>"谭智伟"</f>
        <v>谭智伟</v>
      </c>
      <c r="F1081" s="5" t="str">
        <f t="shared" si="314"/>
        <v>男</v>
      </c>
      <c r="G1081" s="5" t="str">
        <f>"1994-08-03"</f>
        <v>1994-08-03</v>
      </c>
      <c r="H1081" s="5" t="str">
        <f>"辽宁大学"</f>
        <v>辽宁大学</v>
      </c>
    </row>
    <row r="1082" s="2" customFormat="1" ht="20" customHeight="1" spans="1:8">
      <c r="A1082" s="5">
        <v>1080</v>
      </c>
      <c r="B1082" s="5" t="str">
        <f>"223220191129070554217312"</f>
        <v>223220191129070554217312</v>
      </c>
      <c r="C1082" s="5" t="s">
        <v>41</v>
      </c>
      <c r="D1082" s="5" t="s">
        <v>42</v>
      </c>
      <c r="E1082" s="5" t="str">
        <f>"陈荣善"</f>
        <v>陈荣善</v>
      </c>
      <c r="F1082" s="5" t="str">
        <f t="shared" si="314"/>
        <v>男</v>
      </c>
      <c r="G1082" s="5" t="str">
        <f>"1991-08-17"</f>
        <v>1991-08-17</v>
      </c>
      <c r="H1082" s="5" t="str">
        <f>"怀化学院"</f>
        <v>怀化学院</v>
      </c>
    </row>
    <row r="1083" s="2" customFormat="1" ht="20" customHeight="1" spans="1:8">
      <c r="A1083" s="5">
        <v>1081</v>
      </c>
      <c r="B1083" s="5" t="str">
        <f>"223220191129084121217324"</f>
        <v>223220191129084121217324</v>
      </c>
      <c r="C1083" s="5" t="s">
        <v>41</v>
      </c>
      <c r="D1083" s="5" t="s">
        <v>42</v>
      </c>
      <c r="E1083" s="5" t="str">
        <f>"何爱花"</f>
        <v>何爱花</v>
      </c>
      <c r="F1083" s="5" t="str">
        <f t="shared" ref="F1083:F1085" si="315">"女"</f>
        <v>女</v>
      </c>
      <c r="G1083" s="5" t="str">
        <f>"1992-01-05"</f>
        <v>1992-01-05</v>
      </c>
      <c r="H1083" s="5" t="str">
        <f>"云南大学旅游文化学院"</f>
        <v>云南大学旅游文化学院</v>
      </c>
    </row>
    <row r="1084" s="2" customFormat="1" ht="20" customHeight="1" spans="1:8">
      <c r="A1084" s="5">
        <v>1082</v>
      </c>
      <c r="B1084" s="5" t="str">
        <f>"223220191129090556217339"</f>
        <v>223220191129090556217339</v>
      </c>
      <c r="C1084" s="5" t="s">
        <v>41</v>
      </c>
      <c r="D1084" s="5" t="s">
        <v>42</v>
      </c>
      <c r="E1084" s="5" t="str">
        <f>"陈春丽"</f>
        <v>陈春丽</v>
      </c>
      <c r="F1084" s="5" t="str">
        <f t="shared" si="315"/>
        <v>女</v>
      </c>
      <c r="G1084" s="5" t="str">
        <f>"1989-11-25"</f>
        <v>1989-11-25</v>
      </c>
      <c r="H1084" s="5" t="str">
        <f>"海南职业政法学校"</f>
        <v>海南职业政法学校</v>
      </c>
    </row>
    <row r="1085" s="2" customFormat="1" ht="20" customHeight="1" spans="1:8">
      <c r="A1085" s="5">
        <v>1083</v>
      </c>
      <c r="B1085" s="5" t="str">
        <f>"223220191129104004217419"</f>
        <v>223220191129104004217419</v>
      </c>
      <c r="C1085" s="5" t="s">
        <v>41</v>
      </c>
      <c r="D1085" s="5" t="s">
        <v>42</v>
      </c>
      <c r="E1085" s="5" t="str">
        <f>"唐士代"</f>
        <v>唐士代</v>
      </c>
      <c r="F1085" s="5" t="str">
        <f t="shared" si="315"/>
        <v>女</v>
      </c>
      <c r="G1085" s="5" t="str">
        <f>"1992-06-15"</f>
        <v>1992-06-15</v>
      </c>
      <c r="H1085" s="5" t="str">
        <f>"云南大学旅游文化学院"</f>
        <v>云南大学旅游文化学院</v>
      </c>
    </row>
    <row r="1086" s="2" customFormat="1" ht="20" customHeight="1" spans="1:8">
      <c r="A1086" s="5">
        <v>1084</v>
      </c>
      <c r="B1086" s="5" t="str">
        <f>"223220191129112251217457"</f>
        <v>223220191129112251217457</v>
      </c>
      <c r="C1086" s="5" t="s">
        <v>41</v>
      </c>
      <c r="D1086" s="5" t="s">
        <v>42</v>
      </c>
      <c r="E1086" s="5" t="str">
        <f>"黎金元"</f>
        <v>黎金元</v>
      </c>
      <c r="F1086" s="5" t="str">
        <f t="shared" ref="F1086:F1090" si="316">"男"</f>
        <v>男</v>
      </c>
      <c r="G1086" s="5" t="str">
        <f>"1995-09-22"</f>
        <v>1995-09-22</v>
      </c>
      <c r="H1086" s="5" t="str">
        <f>"开封大学"</f>
        <v>开封大学</v>
      </c>
    </row>
    <row r="1087" s="2" customFormat="1" ht="20" customHeight="1" spans="1:8">
      <c r="A1087" s="5">
        <v>1085</v>
      </c>
      <c r="B1087" s="5" t="str">
        <f>"223220191129142055217557"</f>
        <v>223220191129142055217557</v>
      </c>
      <c r="C1087" s="5" t="s">
        <v>41</v>
      </c>
      <c r="D1087" s="5" t="s">
        <v>42</v>
      </c>
      <c r="E1087" s="5" t="str">
        <f>"符许燕"</f>
        <v>符许燕</v>
      </c>
      <c r="F1087" s="5" t="str">
        <f t="shared" ref="F1087:F1091" si="317">"女"</f>
        <v>女</v>
      </c>
      <c r="G1087" s="5" t="str">
        <f>"1996-07-14"</f>
        <v>1996-07-14</v>
      </c>
      <c r="H1087" s="5" t="str">
        <f>"华东交通大学理工学院"</f>
        <v>华东交通大学理工学院</v>
      </c>
    </row>
    <row r="1088" s="2" customFormat="1" ht="20" customHeight="1" spans="1:8">
      <c r="A1088" s="5">
        <v>1086</v>
      </c>
      <c r="B1088" s="5" t="str">
        <f>"223220191129145304217577"</f>
        <v>223220191129145304217577</v>
      </c>
      <c r="C1088" s="5" t="s">
        <v>41</v>
      </c>
      <c r="D1088" s="5" t="s">
        <v>42</v>
      </c>
      <c r="E1088" s="5" t="str">
        <f>"周彰为"</f>
        <v>周彰为</v>
      </c>
      <c r="F1088" s="5" t="str">
        <f>"男"</f>
        <v>男</v>
      </c>
      <c r="G1088" s="5" t="str">
        <f>"1987-10-07"</f>
        <v>1987-10-07</v>
      </c>
      <c r="H1088" s="5" t="str">
        <f>"华南农业大学珠江学院"</f>
        <v>华南农业大学珠江学院</v>
      </c>
    </row>
    <row r="1089" s="2" customFormat="1" ht="20" customHeight="1" spans="1:8">
      <c r="A1089" s="5">
        <v>1087</v>
      </c>
      <c r="B1089" s="5" t="str">
        <f>"223220191129170629217685"</f>
        <v>223220191129170629217685</v>
      </c>
      <c r="C1089" s="5" t="s">
        <v>41</v>
      </c>
      <c r="D1089" s="5" t="s">
        <v>42</v>
      </c>
      <c r="E1089" s="5" t="str">
        <f>"苏高丹"</f>
        <v>苏高丹</v>
      </c>
      <c r="F1089" s="5" t="str">
        <f t="shared" ref="F1089:F1093" si="318">"女"</f>
        <v>女</v>
      </c>
      <c r="G1089" s="5" t="str">
        <f>"1996-05-12"</f>
        <v>1996-05-12</v>
      </c>
      <c r="H1089" s="5" t="str">
        <f>"海南软件职业技术学院"</f>
        <v>海南软件职业技术学院</v>
      </c>
    </row>
    <row r="1090" s="2" customFormat="1" ht="20" customHeight="1" spans="1:8">
      <c r="A1090" s="5">
        <v>1088</v>
      </c>
      <c r="B1090" s="5" t="str">
        <f>"223220191129174011217714"</f>
        <v>223220191129174011217714</v>
      </c>
      <c r="C1090" s="5" t="s">
        <v>41</v>
      </c>
      <c r="D1090" s="5" t="s">
        <v>42</v>
      </c>
      <c r="E1090" s="5" t="str">
        <f>"孙宇权"</f>
        <v>孙宇权</v>
      </c>
      <c r="F1090" s="5" t="str">
        <f t="shared" ref="F1090:F1098" si="319">"男"</f>
        <v>男</v>
      </c>
      <c r="G1090" s="5" t="str">
        <f>"1991-03-18"</f>
        <v>1991-03-18</v>
      </c>
      <c r="H1090" s="5" t="str">
        <f>"海口经济学院"</f>
        <v>海口经济学院</v>
      </c>
    </row>
    <row r="1091" s="2" customFormat="1" ht="20" customHeight="1" spans="1:8">
      <c r="A1091" s="5">
        <v>1089</v>
      </c>
      <c r="B1091" s="5" t="str">
        <f>"223220191129225726217867"</f>
        <v>223220191129225726217867</v>
      </c>
      <c r="C1091" s="5" t="s">
        <v>41</v>
      </c>
      <c r="D1091" s="5" t="s">
        <v>42</v>
      </c>
      <c r="E1091" s="5" t="str">
        <f>"廖丽莎"</f>
        <v>廖丽莎</v>
      </c>
      <c r="F1091" s="5" t="str">
        <f>"女"</f>
        <v>女</v>
      </c>
      <c r="G1091" s="5" t="str">
        <f>"1993-08-28"</f>
        <v>1993-08-28</v>
      </c>
      <c r="H1091" s="5" t="str">
        <f>"湘潭大学"</f>
        <v>湘潭大学</v>
      </c>
    </row>
    <row r="1092" s="2" customFormat="1" ht="20" customHeight="1" spans="1:8">
      <c r="A1092" s="5">
        <v>1090</v>
      </c>
      <c r="B1092" s="5" t="str">
        <f>"223220191130000930217891"</f>
        <v>223220191130000930217891</v>
      </c>
      <c r="C1092" s="5" t="s">
        <v>41</v>
      </c>
      <c r="D1092" s="5" t="s">
        <v>42</v>
      </c>
      <c r="E1092" s="5" t="str">
        <f>"黎秀民"</f>
        <v>黎秀民</v>
      </c>
      <c r="F1092" s="5" t="str">
        <f t="shared" ref="F1092:F1098" si="320">"男"</f>
        <v>男</v>
      </c>
      <c r="G1092" s="5" t="str">
        <f>"1990-02-03"</f>
        <v>1990-02-03</v>
      </c>
      <c r="H1092" s="5" t="str">
        <f>"江西中医学院"</f>
        <v>江西中医学院</v>
      </c>
    </row>
    <row r="1093" s="2" customFormat="1" ht="20" customHeight="1" spans="1:8">
      <c r="A1093" s="5">
        <v>1091</v>
      </c>
      <c r="B1093" s="5" t="str">
        <f>"223220191130094729217939"</f>
        <v>223220191130094729217939</v>
      </c>
      <c r="C1093" s="5" t="s">
        <v>41</v>
      </c>
      <c r="D1093" s="5" t="s">
        <v>42</v>
      </c>
      <c r="E1093" s="5" t="str">
        <f>"张浩瑜"</f>
        <v>张浩瑜</v>
      </c>
      <c r="F1093" s="5" t="str">
        <f>"女"</f>
        <v>女</v>
      </c>
      <c r="G1093" s="5" t="str">
        <f>"1991-05-12"</f>
        <v>1991-05-12</v>
      </c>
      <c r="H1093" s="5" t="str">
        <f>"毕节学院"</f>
        <v>毕节学院</v>
      </c>
    </row>
    <row r="1094" s="2" customFormat="1" ht="20" customHeight="1" spans="1:8">
      <c r="A1094" s="5">
        <v>1092</v>
      </c>
      <c r="B1094" s="5" t="str">
        <f>"223220191130141900218081"</f>
        <v>223220191130141900218081</v>
      </c>
      <c r="C1094" s="5" t="s">
        <v>41</v>
      </c>
      <c r="D1094" s="5" t="s">
        <v>42</v>
      </c>
      <c r="E1094" s="5" t="str">
        <f>"杨振文"</f>
        <v>杨振文</v>
      </c>
      <c r="F1094" s="5" t="str">
        <f>"男"</f>
        <v>男</v>
      </c>
      <c r="G1094" s="5" t="str">
        <f>"1992-06-17"</f>
        <v>1992-06-17</v>
      </c>
      <c r="H1094" s="5" t="str">
        <f>"怀化学院"</f>
        <v>怀化学院</v>
      </c>
    </row>
    <row r="1095" s="2" customFormat="1" ht="20" customHeight="1" spans="1:8">
      <c r="A1095" s="5">
        <v>1093</v>
      </c>
      <c r="B1095" s="5" t="str">
        <f>"223220191130155244218141"</f>
        <v>223220191130155244218141</v>
      </c>
      <c r="C1095" s="5" t="s">
        <v>41</v>
      </c>
      <c r="D1095" s="5" t="s">
        <v>42</v>
      </c>
      <c r="E1095" s="5" t="str">
        <f>"符壮才"</f>
        <v>符壮才</v>
      </c>
      <c r="F1095" s="5" t="str">
        <f>"男"</f>
        <v>男</v>
      </c>
      <c r="G1095" s="5" t="str">
        <f>"1996-09-29"</f>
        <v>1996-09-29</v>
      </c>
      <c r="H1095" s="5" t="str">
        <f>"济南大学"</f>
        <v>济南大学</v>
      </c>
    </row>
    <row r="1096" s="2" customFormat="1" ht="20" customHeight="1" spans="1:8">
      <c r="A1096" s="5">
        <v>1094</v>
      </c>
      <c r="B1096" s="5" t="str">
        <f>"223220191123081322209962"</f>
        <v>223220191123081322209962</v>
      </c>
      <c r="C1096" s="5" t="s">
        <v>43</v>
      </c>
      <c r="D1096" s="5" t="s">
        <v>44</v>
      </c>
      <c r="E1096" s="5" t="str">
        <f>"牛正保"</f>
        <v>牛正保</v>
      </c>
      <c r="F1096" s="5" t="str">
        <f>"男"</f>
        <v>男</v>
      </c>
      <c r="G1096" s="5" t="str">
        <f>"1982-09-02"</f>
        <v>1982-09-02</v>
      </c>
      <c r="H1096" s="5" t="str">
        <f>"海南省广播电视大学"</f>
        <v>海南省广播电视大学</v>
      </c>
    </row>
    <row r="1097" s="2" customFormat="1" ht="20" customHeight="1" spans="1:8">
      <c r="A1097" s="5">
        <v>1095</v>
      </c>
      <c r="B1097" s="5" t="str">
        <f>"223220191123083404209971"</f>
        <v>223220191123083404209971</v>
      </c>
      <c r="C1097" s="5" t="s">
        <v>43</v>
      </c>
      <c r="D1097" s="5" t="s">
        <v>44</v>
      </c>
      <c r="E1097" s="5" t="str">
        <f>"符荣榜"</f>
        <v>符荣榜</v>
      </c>
      <c r="F1097" s="5" t="str">
        <f>"男"</f>
        <v>男</v>
      </c>
      <c r="G1097" s="5" t="str">
        <f>"1994-08-07"</f>
        <v>1994-08-07</v>
      </c>
      <c r="H1097" s="5" t="str">
        <f t="shared" ref="H1097:H1101" si="321">"海南政法职业学院"</f>
        <v>海南政法职业学院</v>
      </c>
    </row>
    <row r="1098" s="2" customFormat="1" ht="20" customHeight="1" spans="1:8">
      <c r="A1098" s="5">
        <v>1096</v>
      </c>
      <c r="B1098" s="5" t="str">
        <f>"223220191123090904209992"</f>
        <v>223220191123090904209992</v>
      </c>
      <c r="C1098" s="5" t="s">
        <v>43</v>
      </c>
      <c r="D1098" s="5" t="s">
        <v>44</v>
      </c>
      <c r="E1098" s="5" t="str">
        <f>"孙启焕"</f>
        <v>孙启焕</v>
      </c>
      <c r="F1098" s="5" t="str">
        <f>"男"</f>
        <v>男</v>
      </c>
      <c r="G1098" s="5" t="str">
        <f>"1987-12-08"</f>
        <v>1987-12-08</v>
      </c>
      <c r="H1098" s="5" t="str">
        <f t="shared" si="321"/>
        <v>海南政法职业学院</v>
      </c>
    </row>
    <row r="1099" s="2" customFormat="1" ht="20" customHeight="1" spans="1:8">
      <c r="A1099" s="5">
        <v>1097</v>
      </c>
      <c r="B1099" s="5" t="str">
        <f>"223220191123093053210019"</f>
        <v>223220191123093053210019</v>
      </c>
      <c r="C1099" s="5" t="s">
        <v>43</v>
      </c>
      <c r="D1099" s="5" t="s">
        <v>44</v>
      </c>
      <c r="E1099" s="5" t="str">
        <f>"李香风"</f>
        <v>李香风</v>
      </c>
      <c r="F1099" s="5" t="str">
        <f t="shared" ref="F1099:F1101" si="322">"女"</f>
        <v>女</v>
      </c>
      <c r="G1099" s="5" t="str">
        <f>"1993-04-20"</f>
        <v>1993-04-20</v>
      </c>
      <c r="H1099" s="5" t="str">
        <f>"荆楚理工学院"</f>
        <v>荆楚理工学院</v>
      </c>
    </row>
    <row r="1100" s="2" customFormat="1" ht="20" customHeight="1" spans="1:8">
      <c r="A1100" s="5">
        <v>1098</v>
      </c>
      <c r="B1100" s="5" t="str">
        <f>"223220191123093218210020"</f>
        <v>223220191123093218210020</v>
      </c>
      <c r="C1100" s="5" t="s">
        <v>43</v>
      </c>
      <c r="D1100" s="5" t="s">
        <v>44</v>
      </c>
      <c r="E1100" s="5" t="str">
        <f>"邱晓娟"</f>
        <v>邱晓娟</v>
      </c>
      <c r="F1100" s="5" t="str">
        <f t="shared" si="322"/>
        <v>女</v>
      </c>
      <c r="G1100" s="5" t="str">
        <f>"1989-08-13"</f>
        <v>1989-08-13</v>
      </c>
      <c r="H1100" s="5" t="str">
        <f>"武汉科技大学"</f>
        <v>武汉科技大学</v>
      </c>
    </row>
    <row r="1101" s="2" customFormat="1" ht="20" customHeight="1" spans="1:8">
      <c r="A1101" s="5">
        <v>1099</v>
      </c>
      <c r="B1101" s="5" t="str">
        <f>"223220191123093817210027"</f>
        <v>223220191123093817210027</v>
      </c>
      <c r="C1101" s="5" t="s">
        <v>43</v>
      </c>
      <c r="D1101" s="5" t="s">
        <v>44</v>
      </c>
      <c r="E1101" s="5" t="str">
        <f>"李石爱"</f>
        <v>李石爱</v>
      </c>
      <c r="F1101" s="5" t="str">
        <f t="shared" si="322"/>
        <v>女</v>
      </c>
      <c r="G1101" s="5" t="str">
        <f>"1993-10-04"</f>
        <v>1993-10-04</v>
      </c>
      <c r="H1101" s="5" t="str">
        <f>"海南政法职业学院"</f>
        <v>海南政法职业学院</v>
      </c>
    </row>
    <row r="1102" s="2" customFormat="1" ht="20" customHeight="1" spans="1:8">
      <c r="A1102" s="5">
        <v>1100</v>
      </c>
      <c r="B1102" s="5" t="str">
        <f>"223220191123094347210037"</f>
        <v>223220191123094347210037</v>
      </c>
      <c r="C1102" s="5" t="s">
        <v>43</v>
      </c>
      <c r="D1102" s="5" t="s">
        <v>44</v>
      </c>
      <c r="E1102" s="5" t="str">
        <f>"吴可学"</f>
        <v>吴可学</v>
      </c>
      <c r="F1102" s="5" t="str">
        <f t="shared" ref="F1102:F1106" si="323">"男"</f>
        <v>男</v>
      </c>
      <c r="G1102" s="5" t="str">
        <f>"1994-06-07"</f>
        <v>1994-06-07</v>
      </c>
      <c r="H1102" s="5" t="str">
        <f>"广西工业职业技术学院"</f>
        <v>广西工业职业技术学院</v>
      </c>
    </row>
    <row r="1103" s="2" customFormat="1" ht="20" customHeight="1" spans="1:8">
      <c r="A1103" s="5">
        <v>1101</v>
      </c>
      <c r="B1103" s="5" t="str">
        <f>"223220191123094654210041"</f>
        <v>223220191123094654210041</v>
      </c>
      <c r="C1103" s="5" t="s">
        <v>43</v>
      </c>
      <c r="D1103" s="5" t="s">
        <v>44</v>
      </c>
      <c r="E1103" s="5" t="str">
        <f>"麦海江"</f>
        <v>麦海江</v>
      </c>
      <c r="F1103" s="5" t="str">
        <f t="shared" si="323"/>
        <v>男</v>
      </c>
      <c r="G1103" s="5" t="str">
        <f>"1990-09-23"</f>
        <v>1990-09-23</v>
      </c>
      <c r="H1103" s="5" t="str">
        <f>"柳州职业技术学院"</f>
        <v>柳州职业技术学院</v>
      </c>
    </row>
    <row r="1104" s="2" customFormat="1" ht="20" customHeight="1" spans="1:8">
      <c r="A1104" s="5">
        <v>1102</v>
      </c>
      <c r="B1104" s="5" t="str">
        <f>"223220191123095005210045"</f>
        <v>223220191123095005210045</v>
      </c>
      <c r="C1104" s="5" t="s">
        <v>43</v>
      </c>
      <c r="D1104" s="5" t="s">
        <v>44</v>
      </c>
      <c r="E1104" s="5" t="str">
        <f>"郑凤爱"</f>
        <v>郑凤爱</v>
      </c>
      <c r="F1104" s="5" t="str">
        <f>"女"</f>
        <v>女</v>
      </c>
      <c r="G1104" s="5" t="str">
        <f>"1990-10-02"</f>
        <v>1990-10-02</v>
      </c>
      <c r="H1104" s="5" t="str">
        <f>"贵州凯里学院"</f>
        <v>贵州凯里学院</v>
      </c>
    </row>
    <row r="1105" s="2" customFormat="1" ht="20" customHeight="1" spans="1:8">
      <c r="A1105" s="5">
        <v>1103</v>
      </c>
      <c r="B1105" s="5" t="str">
        <f>"223220191123100029210060"</f>
        <v>223220191123100029210060</v>
      </c>
      <c r="C1105" s="5" t="s">
        <v>43</v>
      </c>
      <c r="D1105" s="5" t="s">
        <v>44</v>
      </c>
      <c r="E1105" s="5" t="str">
        <f>"许保斯"</f>
        <v>许保斯</v>
      </c>
      <c r="F1105" s="5" t="str">
        <f>"男"</f>
        <v>男</v>
      </c>
      <c r="G1105" s="5" t="str">
        <f>"1993-08-06"</f>
        <v>1993-08-06</v>
      </c>
      <c r="H1105" s="5" t="str">
        <f>"国家开发大学"</f>
        <v>国家开发大学</v>
      </c>
    </row>
    <row r="1106" s="2" customFormat="1" ht="20" customHeight="1" spans="1:8">
      <c r="A1106" s="5">
        <v>1104</v>
      </c>
      <c r="B1106" s="5" t="str">
        <f>"223220191123100055210062"</f>
        <v>223220191123100055210062</v>
      </c>
      <c r="C1106" s="5" t="s">
        <v>43</v>
      </c>
      <c r="D1106" s="5" t="s">
        <v>44</v>
      </c>
      <c r="E1106" s="5" t="str">
        <f>"许旭东"</f>
        <v>许旭东</v>
      </c>
      <c r="F1106" s="5" t="str">
        <f>"男"</f>
        <v>男</v>
      </c>
      <c r="G1106" s="5" t="str">
        <f>"1993-10-29"</f>
        <v>1993-10-29</v>
      </c>
      <c r="H1106" s="5" t="str">
        <f>"湖北工业大学商贸学院"</f>
        <v>湖北工业大学商贸学院</v>
      </c>
    </row>
    <row r="1107" s="2" customFormat="1" ht="20" customHeight="1" spans="1:8">
      <c r="A1107" s="5">
        <v>1105</v>
      </c>
      <c r="B1107" s="5" t="str">
        <f>"223220191123100453210066"</f>
        <v>223220191123100453210066</v>
      </c>
      <c r="C1107" s="5" t="s">
        <v>43</v>
      </c>
      <c r="D1107" s="5" t="s">
        <v>44</v>
      </c>
      <c r="E1107" s="5" t="str">
        <f>"李吉"</f>
        <v>李吉</v>
      </c>
      <c r="F1107" s="5" t="str">
        <f>"女"</f>
        <v>女</v>
      </c>
      <c r="G1107" s="5" t="str">
        <f>"1994-04-15"</f>
        <v>1994-04-15</v>
      </c>
      <c r="H1107" s="5" t="str">
        <f>"三亚航空旅游职业学院"</f>
        <v>三亚航空旅游职业学院</v>
      </c>
    </row>
    <row r="1108" s="2" customFormat="1" ht="20" customHeight="1" spans="1:8">
      <c r="A1108" s="5">
        <v>1106</v>
      </c>
      <c r="B1108" s="5" t="str">
        <f>"223220191123100618210068"</f>
        <v>223220191123100618210068</v>
      </c>
      <c r="C1108" s="5" t="s">
        <v>43</v>
      </c>
      <c r="D1108" s="5" t="s">
        <v>44</v>
      </c>
      <c r="E1108" s="5" t="str">
        <f>"严安"</f>
        <v>严安</v>
      </c>
      <c r="F1108" s="5" t="str">
        <f t="shared" ref="F1108:F1110" si="324">"男"</f>
        <v>男</v>
      </c>
      <c r="G1108" s="5" t="str">
        <f>"1995-07-04"</f>
        <v>1995-07-04</v>
      </c>
      <c r="H1108" s="5" t="str">
        <f>"江西农业大学"</f>
        <v>江西农业大学</v>
      </c>
    </row>
    <row r="1109" s="2" customFormat="1" ht="20" customHeight="1" spans="1:8">
      <c r="A1109" s="5">
        <v>1107</v>
      </c>
      <c r="B1109" s="5" t="str">
        <f>"223220191123100658210069"</f>
        <v>223220191123100658210069</v>
      </c>
      <c r="C1109" s="5" t="s">
        <v>43</v>
      </c>
      <c r="D1109" s="5" t="s">
        <v>44</v>
      </c>
      <c r="E1109" s="5" t="str">
        <f>"陈金发"</f>
        <v>陈金发</v>
      </c>
      <c r="F1109" s="5" t="str">
        <f t="shared" si="324"/>
        <v>男</v>
      </c>
      <c r="G1109" s="5" t="str">
        <f>"1986-09-17"</f>
        <v>1986-09-17</v>
      </c>
      <c r="H1109" s="5" t="str">
        <f>"琼台师范高等专科学校"</f>
        <v>琼台师范高等专科学校</v>
      </c>
    </row>
    <row r="1110" s="2" customFormat="1" ht="20" customHeight="1" spans="1:8">
      <c r="A1110" s="5">
        <v>1108</v>
      </c>
      <c r="B1110" s="5" t="str">
        <f>"223220191123100840210073"</f>
        <v>223220191123100840210073</v>
      </c>
      <c r="C1110" s="5" t="s">
        <v>43</v>
      </c>
      <c r="D1110" s="5" t="s">
        <v>44</v>
      </c>
      <c r="E1110" s="5" t="str">
        <f>"陈大有"</f>
        <v>陈大有</v>
      </c>
      <c r="F1110" s="5" t="str">
        <f t="shared" si="324"/>
        <v>男</v>
      </c>
      <c r="G1110" s="5" t="str">
        <f>"1992-07-14"</f>
        <v>1992-07-14</v>
      </c>
      <c r="H1110" s="5" t="str">
        <f>"湖南省商务职业技术学院"</f>
        <v>湖南省商务职业技术学院</v>
      </c>
    </row>
    <row r="1111" s="2" customFormat="1" ht="20" customHeight="1" spans="1:8">
      <c r="A1111" s="5">
        <v>1109</v>
      </c>
      <c r="B1111" s="5" t="str">
        <f>"223220191123100934210076"</f>
        <v>223220191123100934210076</v>
      </c>
      <c r="C1111" s="5" t="s">
        <v>43</v>
      </c>
      <c r="D1111" s="5" t="s">
        <v>44</v>
      </c>
      <c r="E1111" s="5" t="str">
        <f>"郑文霞"</f>
        <v>郑文霞</v>
      </c>
      <c r="F1111" s="5" t="str">
        <f t="shared" ref="F1111:F1115" si="325">"女"</f>
        <v>女</v>
      </c>
      <c r="G1111" s="5" t="str">
        <f>"1992-11-08"</f>
        <v>1992-11-08</v>
      </c>
      <c r="H1111" s="5" t="str">
        <f>"琼州学院"</f>
        <v>琼州学院</v>
      </c>
    </row>
    <row r="1112" s="2" customFormat="1" ht="20" customHeight="1" spans="1:8">
      <c r="A1112" s="5">
        <v>1110</v>
      </c>
      <c r="B1112" s="5" t="str">
        <f>"223220191123101400210085"</f>
        <v>223220191123101400210085</v>
      </c>
      <c r="C1112" s="5" t="s">
        <v>43</v>
      </c>
      <c r="D1112" s="5" t="s">
        <v>44</v>
      </c>
      <c r="E1112" s="5" t="str">
        <f>"符家荣"</f>
        <v>符家荣</v>
      </c>
      <c r="F1112" s="5" t="str">
        <f t="shared" ref="F1112:F1119" si="326">"男"</f>
        <v>男</v>
      </c>
      <c r="G1112" s="5" t="str">
        <f>"1995-12-08"</f>
        <v>1995-12-08</v>
      </c>
      <c r="H1112" s="5" t="str">
        <f>"辽宁财贸学院"</f>
        <v>辽宁财贸学院</v>
      </c>
    </row>
    <row r="1113" s="2" customFormat="1" ht="20" customHeight="1" spans="1:8">
      <c r="A1113" s="5">
        <v>1111</v>
      </c>
      <c r="B1113" s="5" t="str">
        <f>"223220191123101758210092"</f>
        <v>223220191123101758210092</v>
      </c>
      <c r="C1113" s="5" t="s">
        <v>43</v>
      </c>
      <c r="D1113" s="5" t="s">
        <v>44</v>
      </c>
      <c r="E1113" s="5" t="str">
        <f>"陈亮桦"</f>
        <v>陈亮桦</v>
      </c>
      <c r="F1113" s="5" t="str">
        <f t="shared" si="326"/>
        <v>男</v>
      </c>
      <c r="G1113" s="5" t="str">
        <f>"1992-03-12"</f>
        <v>1992-03-12</v>
      </c>
      <c r="H1113" s="5" t="str">
        <f>"海南软件职业技术学院"</f>
        <v>海南软件职业技术学院</v>
      </c>
    </row>
    <row r="1114" s="2" customFormat="1" ht="20" customHeight="1" spans="1:8">
      <c r="A1114" s="5">
        <v>1112</v>
      </c>
      <c r="B1114" s="5" t="str">
        <f>"223220191123102332210100"</f>
        <v>223220191123102332210100</v>
      </c>
      <c r="C1114" s="5" t="s">
        <v>43</v>
      </c>
      <c r="D1114" s="5" t="s">
        <v>44</v>
      </c>
      <c r="E1114" s="5" t="str">
        <f>"陈梦霞"</f>
        <v>陈梦霞</v>
      </c>
      <c r="F1114" s="5" t="str">
        <f>"女"</f>
        <v>女</v>
      </c>
      <c r="G1114" s="5" t="str">
        <f>"1994-10-10"</f>
        <v>1994-10-10</v>
      </c>
      <c r="H1114" s="5" t="str">
        <f>"重庆文理学院"</f>
        <v>重庆文理学院</v>
      </c>
    </row>
    <row r="1115" s="2" customFormat="1" ht="20" customHeight="1" spans="1:8">
      <c r="A1115" s="5">
        <v>1113</v>
      </c>
      <c r="B1115" s="5" t="str">
        <f>"223220191123104725210135"</f>
        <v>223220191123104725210135</v>
      </c>
      <c r="C1115" s="5" t="s">
        <v>43</v>
      </c>
      <c r="D1115" s="5" t="s">
        <v>44</v>
      </c>
      <c r="E1115" s="5" t="str">
        <f>"郭秀蕊"</f>
        <v>郭秀蕊</v>
      </c>
      <c r="F1115" s="5" t="str">
        <f>"女"</f>
        <v>女</v>
      </c>
      <c r="G1115" s="5" t="str">
        <f>"1992-07-26"</f>
        <v>1992-07-26</v>
      </c>
      <c r="H1115" s="5" t="str">
        <f>"西北民族大学"</f>
        <v>西北民族大学</v>
      </c>
    </row>
    <row r="1116" s="2" customFormat="1" ht="20" customHeight="1" spans="1:8">
      <c r="A1116" s="5">
        <v>1114</v>
      </c>
      <c r="B1116" s="5" t="str">
        <f>"223220191123104728210136"</f>
        <v>223220191123104728210136</v>
      </c>
      <c r="C1116" s="5" t="s">
        <v>43</v>
      </c>
      <c r="D1116" s="5" t="s">
        <v>44</v>
      </c>
      <c r="E1116" s="5" t="str">
        <f>"潘财雄"</f>
        <v>潘财雄</v>
      </c>
      <c r="F1116" s="5" t="str">
        <f t="shared" ref="F1116:F1119" si="327">"男"</f>
        <v>男</v>
      </c>
      <c r="G1116" s="5" t="str">
        <f>"1990-04-19"</f>
        <v>1990-04-19</v>
      </c>
      <c r="H1116" s="5" t="str">
        <f>"安徽淮南联合大学"</f>
        <v>安徽淮南联合大学</v>
      </c>
    </row>
    <row r="1117" s="2" customFormat="1" ht="20" customHeight="1" spans="1:8">
      <c r="A1117" s="5">
        <v>1115</v>
      </c>
      <c r="B1117" s="5" t="str">
        <f>"223220191123105801210153"</f>
        <v>223220191123105801210153</v>
      </c>
      <c r="C1117" s="5" t="s">
        <v>43</v>
      </c>
      <c r="D1117" s="5" t="s">
        <v>44</v>
      </c>
      <c r="E1117" s="5" t="str">
        <f>"廖正文"</f>
        <v>廖正文</v>
      </c>
      <c r="F1117" s="5" t="str">
        <f t="shared" si="327"/>
        <v>男</v>
      </c>
      <c r="G1117" s="5" t="str">
        <f>"1988-01-17"</f>
        <v>1988-01-17</v>
      </c>
      <c r="H1117" s="5" t="str">
        <f>"海南政法职业学院"</f>
        <v>海南政法职业学院</v>
      </c>
    </row>
    <row r="1118" s="2" customFormat="1" ht="20" customHeight="1" spans="1:8">
      <c r="A1118" s="5">
        <v>1116</v>
      </c>
      <c r="B1118" s="5" t="str">
        <f>"223220191123105925210154"</f>
        <v>223220191123105925210154</v>
      </c>
      <c r="C1118" s="5" t="s">
        <v>43</v>
      </c>
      <c r="D1118" s="5" t="s">
        <v>44</v>
      </c>
      <c r="E1118" s="5" t="str">
        <f>"符美华"</f>
        <v>符美华</v>
      </c>
      <c r="F1118" s="5" t="str">
        <f t="shared" si="327"/>
        <v>男</v>
      </c>
      <c r="G1118" s="5" t="str">
        <f>"1978-09-26"</f>
        <v>1978-09-26</v>
      </c>
      <c r="H1118" s="5" t="str">
        <f>"海南师范大学"</f>
        <v>海南师范大学</v>
      </c>
    </row>
    <row r="1119" s="2" customFormat="1" ht="20" customHeight="1" spans="1:8">
      <c r="A1119" s="5">
        <v>1117</v>
      </c>
      <c r="B1119" s="5" t="str">
        <f>"223220191123110638210164"</f>
        <v>223220191123110638210164</v>
      </c>
      <c r="C1119" s="5" t="s">
        <v>43</v>
      </c>
      <c r="D1119" s="5" t="s">
        <v>44</v>
      </c>
      <c r="E1119" s="5" t="str">
        <f>"黎镠"</f>
        <v>黎镠</v>
      </c>
      <c r="F1119" s="5" t="str">
        <f t="shared" si="327"/>
        <v>男</v>
      </c>
      <c r="G1119" s="5" t="str">
        <f>"1995-11-04"</f>
        <v>1995-11-04</v>
      </c>
      <c r="H1119" s="5" t="str">
        <f>"海口经济学院"</f>
        <v>海口经济学院</v>
      </c>
    </row>
    <row r="1120" s="2" customFormat="1" ht="20" customHeight="1" spans="1:8">
      <c r="A1120" s="5">
        <v>1118</v>
      </c>
      <c r="B1120" s="5" t="str">
        <f>"223220191123111721210181"</f>
        <v>223220191123111721210181</v>
      </c>
      <c r="C1120" s="5" t="s">
        <v>43</v>
      </c>
      <c r="D1120" s="5" t="s">
        <v>44</v>
      </c>
      <c r="E1120" s="5" t="str">
        <f>"李慧婷"</f>
        <v>李慧婷</v>
      </c>
      <c r="F1120" s="5" t="str">
        <f t="shared" ref="F1120:F1127" si="328">"女"</f>
        <v>女</v>
      </c>
      <c r="G1120" s="5" t="str">
        <f>"1993-10-01"</f>
        <v>1993-10-01</v>
      </c>
      <c r="H1120" s="5" t="str">
        <f>"九江职业大学"</f>
        <v>九江职业大学</v>
      </c>
    </row>
    <row r="1121" s="2" customFormat="1" ht="20" customHeight="1" spans="1:8">
      <c r="A1121" s="5">
        <v>1119</v>
      </c>
      <c r="B1121" s="5" t="str">
        <f>"223220191123112958210191"</f>
        <v>223220191123112958210191</v>
      </c>
      <c r="C1121" s="5" t="s">
        <v>43</v>
      </c>
      <c r="D1121" s="5" t="s">
        <v>44</v>
      </c>
      <c r="E1121" s="5" t="str">
        <f>"符家秀"</f>
        <v>符家秀</v>
      </c>
      <c r="F1121" s="5" t="str">
        <f t="shared" si="328"/>
        <v>女</v>
      </c>
      <c r="G1121" s="5" t="str">
        <f>"1994-06-01"</f>
        <v>1994-06-01</v>
      </c>
      <c r="H1121" s="5" t="str">
        <f>"海南外国语职业学院"</f>
        <v>海南外国语职业学院</v>
      </c>
    </row>
    <row r="1122" s="2" customFormat="1" ht="20" customHeight="1" spans="1:8">
      <c r="A1122" s="5">
        <v>1120</v>
      </c>
      <c r="B1122" s="5" t="str">
        <f>"223220191123114724210206"</f>
        <v>223220191123114724210206</v>
      </c>
      <c r="C1122" s="5" t="s">
        <v>43</v>
      </c>
      <c r="D1122" s="5" t="s">
        <v>44</v>
      </c>
      <c r="E1122" s="5" t="str">
        <f>"梁环"</f>
        <v>梁环</v>
      </c>
      <c r="F1122" s="5" t="str">
        <f>"男"</f>
        <v>男</v>
      </c>
      <c r="G1122" s="5" t="str">
        <f>"1994-07-13"</f>
        <v>1994-07-13</v>
      </c>
      <c r="H1122" s="5" t="str">
        <f>"贵州师范学院"</f>
        <v>贵州师范学院</v>
      </c>
    </row>
    <row r="1123" s="2" customFormat="1" ht="20" customHeight="1" spans="1:8">
      <c r="A1123" s="5">
        <v>1121</v>
      </c>
      <c r="B1123" s="5" t="str">
        <f>"223220191123120341210231"</f>
        <v>223220191123120341210231</v>
      </c>
      <c r="C1123" s="5" t="s">
        <v>43</v>
      </c>
      <c r="D1123" s="5" t="s">
        <v>44</v>
      </c>
      <c r="E1123" s="5" t="str">
        <f>"李如名"</f>
        <v>李如名</v>
      </c>
      <c r="F1123" s="5" t="str">
        <f>"男"</f>
        <v>男</v>
      </c>
      <c r="G1123" s="5" t="str">
        <f>"1997-01-18"</f>
        <v>1997-01-18</v>
      </c>
      <c r="H1123" s="5" t="str">
        <f>"北京科技大学"</f>
        <v>北京科技大学</v>
      </c>
    </row>
    <row r="1124" s="2" customFormat="1" ht="20" customHeight="1" spans="1:8">
      <c r="A1124" s="5">
        <v>1122</v>
      </c>
      <c r="B1124" s="5" t="str">
        <f>"223220191123121003210238"</f>
        <v>223220191123121003210238</v>
      </c>
      <c r="C1124" s="5" t="s">
        <v>43</v>
      </c>
      <c r="D1124" s="5" t="s">
        <v>44</v>
      </c>
      <c r="E1124" s="5" t="str">
        <f>"李春颖"</f>
        <v>李春颖</v>
      </c>
      <c r="F1124" s="5" t="str">
        <f t="shared" ref="F1124:F1127" si="329">"女"</f>
        <v>女</v>
      </c>
      <c r="G1124" s="5" t="str">
        <f>"1995-09-27"</f>
        <v>1995-09-27</v>
      </c>
      <c r="H1124" s="5" t="str">
        <f>"云南师范大学商学院"</f>
        <v>云南师范大学商学院</v>
      </c>
    </row>
    <row r="1125" s="2" customFormat="1" ht="20" customHeight="1" spans="1:8">
      <c r="A1125" s="5">
        <v>1123</v>
      </c>
      <c r="B1125" s="5" t="str">
        <f>"223220191123122346210253"</f>
        <v>223220191123122346210253</v>
      </c>
      <c r="C1125" s="5" t="s">
        <v>43</v>
      </c>
      <c r="D1125" s="5" t="s">
        <v>44</v>
      </c>
      <c r="E1125" s="5" t="str">
        <f>"林日美"</f>
        <v>林日美</v>
      </c>
      <c r="F1125" s="5" t="str">
        <f t="shared" si="329"/>
        <v>女</v>
      </c>
      <c r="G1125" s="5" t="str">
        <f>"1985-05-15"</f>
        <v>1985-05-15</v>
      </c>
      <c r="H1125" s="5" t="str">
        <f>"天津国土资源和房屋职业学院"</f>
        <v>天津国土资源和房屋职业学院</v>
      </c>
    </row>
    <row r="1126" s="2" customFormat="1" ht="20" customHeight="1" spans="1:8">
      <c r="A1126" s="5">
        <v>1124</v>
      </c>
      <c r="B1126" s="5" t="str">
        <f>"223220191123124217210270"</f>
        <v>223220191123124217210270</v>
      </c>
      <c r="C1126" s="5" t="s">
        <v>43</v>
      </c>
      <c r="D1126" s="5" t="s">
        <v>44</v>
      </c>
      <c r="E1126" s="5" t="str">
        <f>"邢艺敏"</f>
        <v>邢艺敏</v>
      </c>
      <c r="F1126" s="5" t="str">
        <f t="shared" si="329"/>
        <v>女</v>
      </c>
      <c r="G1126" s="5" t="str">
        <f>"1995-01-15"</f>
        <v>1995-01-15</v>
      </c>
      <c r="H1126" s="5" t="str">
        <f>"齐齐哈尔大学"</f>
        <v>齐齐哈尔大学</v>
      </c>
    </row>
    <row r="1127" s="2" customFormat="1" ht="20" customHeight="1" spans="1:8">
      <c r="A1127" s="5">
        <v>1125</v>
      </c>
      <c r="B1127" s="5" t="str">
        <f>"223220191123124711210277"</f>
        <v>223220191123124711210277</v>
      </c>
      <c r="C1127" s="5" t="s">
        <v>43</v>
      </c>
      <c r="D1127" s="5" t="s">
        <v>44</v>
      </c>
      <c r="E1127" s="5" t="str">
        <f>"张春丽"</f>
        <v>张春丽</v>
      </c>
      <c r="F1127" s="5" t="str">
        <f t="shared" si="329"/>
        <v>女</v>
      </c>
      <c r="G1127" s="5" t="str">
        <f>"1984-02-09"</f>
        <v>1984-02-09</v>
      </c>
      <c r="H1127" s="5" t="str">
        <f>"湖北工业大学"</f>
        <v>湖北工业大学</v>
      </c>
    </row>
    <row r="1128" s="2" customFormat="1" ht="20" customHeight="1" spans="1:8">
      <c r="A1128" s="5">
        <v>1126</v>
      </c>
      <c r="B1128" s="5" t="str">
        <f>"223220191123125128210280"</f>
        <v>223220191123125128210280</v>
      </c>
      <c r="C1128" s="5" t="s">
        <v>43</v>
      </c>
      <c r="D1128" s="5" t="s">
        <v>44</v>
      </c>
      <c r="E1128" s="5" t="str">
        <f>"吴定佳"</f>
        <v>吴定佳</v>
      </c>
      <c r="F1128" s="5" t="str">
        <f t="shared" ref="F1128:F1134" si="330">"男"</f>
        <v>男</v>
      </c>
      <c r="G1128" s="5" t="str">
        <f>"1989-03-14"</f>
        <v>1989-03-14</v>
      </c>
      <c r="H1128" s="5" t="str">
        <f>"琼台师范高等专科学校"</f>
        <v>琼台师范高等专科学校</v>
      </c>
    </row>
    <row r="1129" s="2" customFormat="1" ht="20" customHeight="1" spans="1:8">
      <c r="A1129" s="5">
        <v>1127</v>
      </c>
      <c r="B1129" s="5" t="str">
        <f>"223220191123132613210311"</f>
        <v>223220191123132613210311</v>
      </c>
      <c r="C1129" s="5" t="s">
        <v>43</v>
      </c>
      <c r="D1129" s="5" t="s">
        <v>44</v>
      </c>
      <c r="E1129" s="5" t="str">
        <f>"李国栋"</f>
        <v>李国栋</v>
      </c>
      <c r="F1129" s="5" t="str">
        <f t="shared" si="330"/>
        <v>男</v>
      </c>
      <c r="G1129" s="5" t="str">
        <f>"1988-03-12"</f>
        <v>1988-03-12</v>
      </c>
      <c r="H1129" s="5" t="str">
        <f>"青岛理工大学琴岛学院"</f>
        <v>青岛理工大学琴岛学院</v>
      </c>
    </row>
    <row r="1130" s="2" customFormat="1" ht="20" customHeight="1" spans="1:8">
      <c r="A1130" s="5">
        <v>1128</v>
      </c>
      <c r="B1130" s="5" t="str">
        <f>"223220191123134256210323"</f>
        <v>223220191123134256210323</v>
      </c>
      <c r="C1130" s="5" t="s">
        <v>43</v>
      </c>
      <c r="D1130" s="5" t="s">
        <v>44</v>
      </c>
      <c r="E1130" s="5" t="str">
        <f>"符认宁"</f>
        <v>符认宁</v>
      </c>
      <c r="F1130" s="5" t="str">
        <f t="shared" si="330"/>
        <v>男</v>
      </c>
      <c r="G1130" s="5" t="str">
        <f>"1987-01-03"</f>
        <v>1987-01-03</v>
      </c>
      <c r="H1130" s="5" t="str">
        <f>"湖南文理学院"</f>
        <v>湖南文理学院</v>
      </c>
    </row>
    <row r="1131" s="2" customFormat="1" ht="20" customHeight="1" spans="1:8">
      <c r="A1131" s="5">
        <v>1129</v>
      </c>
      <c r="B1131" s="5" t="str">
        <f>"223220191123143438210356"</f>
        <v>223220191123143438210356</v>
      </c>
      <c r="C1131" s="5" t="s">
        <v>43</v>
      </c>
      <c r="D1131" s="5" t="s">
        <v>44</v>
      </c>
      <c r="E1131" s="5" t="str">
        <f>"刘有和"</f>
        <v>刘有和</v>
      </c>
      <c r="F1131" s="5" t="str">
        <f t="shared" si="330"/>
        <v>男</v>
      </c>
      <c r="G1131" s="5" t="str">
        <f>"1992-02-02"</f>
        <v>1992-02-02</v>
      </c>
      <c r="H1131" s="5" t="str">
        <f>"西南民族大学"</f>
        <v>西南民族大学</v>
      </c>
    </row>
    <row r="1132" s="2" customFormat="1" ht="20" customHeight="1" spans="1:8">
      <c r="A1132" s="5">
        <v>1130</v>
      </c>
      <c r="B1132" s="5" t="str">
        <f>"223220191123143636210359"</f>
        <v>223220191123143636210359</v>
      </c>
      <c r="C1132" s="5" t="s">
        <v>43</v>
      </c>
      <c r="D1132" s="5" t="s">
        <v>44</v>
      </c>
      <c r="E1132" s="5" t="str">
        <f>"郭景光"</f>
        <v>郭景光</v>
      </c>
      <c r="F1132" s="5" t="str">
        <f t="shared" si="330"/>
        <v>男</v>
      </c>
      <c r="G1132" s="5" t="str">
        <f>"1995-09-01"</f>
        <v>1995-09-01</v>
      </c>
      <c r="H1132" s="5" t="str">
        <f>"湖南文理学院芙蓉学院"</f>
        <v>湖南文理学院芙蓉学院</v>
      </c>
    </row>
    <row r="1133" s="2" customFormat="1" ht="20" customHeight="1" spans="1:8">
      <c r="A1133" s="5">
        <v>1131</v>
      </c>
      <c r="B1133" s="5" t="str">
        <f>"223220191123154742210412"</f>
        <v>223220191123154742210412</v>
      </c>
      <c r="C1133" s="5" t="s">
        <v>43</v>
      </c>
      <c r="D1133" s="5" t="s">
        <v>44</v>
      </c>
      <c r="E1133" s="5" t="str">
        <f>"曾永昌"</f>
        <v>曾永昌</v>
      </c>
      <c r="F1133" s="5" t="str">
        <f t="shared" si="330"/>
        <v>男</v>
      </c>
      <c r="G1133" s="5" t="str">
        <f>"1987-10-01"</f>
        <v>1987-10-01</v>
      </c>
      <c r="H1133" s="5" t="str">
        <f>"重庆工业职业技术学院"</f>
        <v>重庆工业职业技术学院</v>
      </c>
    </row>
    <row r="1134" s="2" customFormat="1" ht="20" customHeight="1" spans="1:8">
      <c r="A1134" s="5">
        <v>1132</v>
      </c>
      <c r="B1134" s="5" t="str">
        <f>"223220191123161611210431"</f>
        <v>223220191123161611210431</v>
      </c>
      <c r="C1134" s="5" t="s">
        <v>43</v>
      </c>
      <c r="D1134" s="5" t="s">
        <v>44</v>
      </c>
      <c r="E1134" s="5" t="str">
        <f>"林温青"</f>
        <v>林温青</v>
      </c>
      <c r="F1134" s="5" t="str">
        <f t="shared" si="330"/>
        <v>男</v>
      </c>
      <c r="G1134" s="5" t="str">
        <f>"1992-03-22"</f>
        <v>1992-03-22</v>
      </c>
      <c r="H1134" s="5" t="str">
        <f>"海南软件职业技术学院"</f>
        <v>海南软件职业技术学院</v>
      </c>
    </row>
    <row r="1135" s="2" customFormat="1" ht="20" customHeight="1" spans="1:8">
      <c r="A1135" s="5">
        <v>1133</v>
      </c>
      <c r="B1135" s="5" t="str">
        <f>"223220191123162723210439"</f>
        <v>223220191123162723210439</v>
      </c>
      <c r="C1135" s="5" t="s">
        <v>43</v>
      </c>
      <c r="D1135" s="5" t="s">
        <v>44</v>
      </c>
      <c r="E1135" s="5" t="str">
        <f>"林丽珍"</f>
        <v>林丽珍</v>
      </c>
      <c r="F1135" s="5" t="str">
        <f t="shared" ref="F1135:F1140" si="331">"女"</f>
        <v>女</v>
      </c>
      <c r="G1135" s="5" t="str">
        <f>"1993-05-06"</f>
        <v>1993-05-06</v>
      </c>
      <c r="H1135" s="5" t="str">
        <f>"琼台师范学院"</f>
        <v>琼台师范学院</v>
      </c>
    </row>
    <row r="1136" s="2" customFormat="1" ht="20" customHeight="1" spans="1:8">
      <c r="A1136" s="5">
        <v>1134</v>
      </c>
      <c r="B1136" s="5" t="str">
        <f>"223220191123164710210453"</f>
        <v>223220191123164710210453</v>
      </c>
      <c r="C1136" s="5" t="s">
        <v>43</v>
      </c>
      <c r="D1136" s="5" t="s">
        <v>44</v>
      </c>
      <c r="E1136" s="5" t="str">
        <f>"陈伟光"</f>
        <v>陈伟光</v>
      </c>
      <c r="F1136" s="5" t="str">
        <f t="shared" ref="F1136:F1139" si="332">"男"</f>
        <v>男</v>
      </c>
      <c r="G1136" s="5" t="str">
        <f>"1993-10-09"</f>
        <v>1993-10-09</v>
      </c>
      <c r="H1136" s="5" t="str">
        <f>"平顶山学院"</f>
        <v>平顶山学院</v>
      </c>
    </row>
    <row r="1137" s="2" customFormat="1" ht="20" customHeight="1" spans="1:8">
      <c r="A1137" s="5">
        <v>1135</v>
      </c>
      <c r="B1137" s="5" t="str">
        <f>"223220191123165226210457"</f>
        <v>223220191123165226210457</v>
      </c>
      <c r="C1137" s="5" t="s">
        <v>43</v>
      </c>
      <c r="D1137" s="5" t="s">
        <v>44</v>
      </c>
      <c r="E1137" s="5" t="str">
        <f>"王智强"</f>
        <v>王智强</v>
      </c>
      <c r="F1137" s="5" t="str">
        <f t="shared" si="332"/>
        <v>男</v>
      </c>
      <c r="G1137" s="5" t="str">
        <f>"1994-12-26"</f>
        <v>1994-12-26</v>
      </c>
      <c r="H1137" s="5" t="str">
        <f>"烟台南山学院"</f>
        <v>烟台南山学院</v>
      </c>
    </row>
    <row r="1138" s="2" customFormat="1" ht="20" customHeight="1" spans="1:8">
      <c r="A1138" s="5">
        <v>1136</v>
      </c>
      <c r="B1138" s="5" t="str">
        <f>"223220191123172140210479"</f>
        <v>223220191123172140210479</v>
      </c>
      <c r="C1138" s="5" t="s">
        <v>43</v>
      </c>
      <c r="D1138" s="5" t="s">
        <v>44</v>
      </c>
      <c r="E1138" s="5" t="str">
        <f>"王丽莺"</f>
        <v>王丽莺</v>
      </c>
      <c r="F1138" s="5" t="str">
        <f>"女"</f>
        <v>女</v>
      </c>
      <c r="G1138" s="5" t="str">
        <f>"1986-03-06"</f>
        <v>1986-03-06</v>
      </c>
      <c r="H1138" s="5" t="str">
        <f>"湖北黄冈师范学院"</f>
        <v>湖北黄冈师范学院</v>
      </c>
    </row>
    <row r="1139" s="2" customFormat="1" ht="20" customHeight="1" spans="1:8">
      <c r="A1139" s="5">
        <v>1137</v>
      </c>
      <c r="B1139" s="5" t="str">
        <f>"223220191123172829210485"</f>
        <v>223220191123172829210485</v>
      </c>
      <c r="C1139" s="5" t="s">
        <v>43</v>
      </c>
      <c r="D1139" s="5" t="s">
        <v>44</v>
      </c>
      <c r="E1139" s="5" t="str">
        <f>"周先锋"</f>
        <v>周先锋</v>
      </c>
      <c r="F1139" s="5" t="str">
        <f>"男"</f>
        <v>男</v>
      </c>
      <c r="G1139" s="5" t="str">
        <f>"1996-07-25"</f>
        <v>1996-07-25</v>
      </c>
      <c r="H1139" s="5" t="str">
        <f>"集美大学"</f>
        <v>集美大学</v>
      </c>
    </row>
    <row r="1140" s="2" customFormat="1" ht="20" customHeight="1" spans="1:8">
      <c r="A1140" s="5">
        <v>1138</v>
      </c>
      <c r="B1140" s="5" t="str">
        <f>"223220191123181406210521"</f>
        <v>223220191123181406210521</v>
      </c>
      <c r="C1140" s="5" t="s">
        <v>43</v>
      </c>
      <c r="D1140" s="5" t="s">
        <v>44</v>
      </c>
      <c r="E1140" s="5" t="str">
        <f>"陈荣莲"</f>
        <v>陈荣莲</v>
      </c>
      <c r="F1140" s="5" t="str">
        <f>"女"</f>
        <v>女</v>
      </c>
      <c r="G1140" s="5" t="str">
        <f>"1987-03-12"</f>
        <v>1987-03-12</v>
      </c>
      <c r="H1140" s="5" t="str">
        <f>"海口经济学院"</f>
        <v>海口经济学院</v>
      </c>
    </row>
    <row r="1141" s="2" customFormat="1" ht="20" customHeight="1" spans="1:8">
      <c r="A1141" s="5">
        <v>1139</v>
      </c>
      <c r="B1141" s="5" t="str">
        <f>"223220191123182440210532"</f>
        <v>223220191123182440210532</v>
      </c>
      <c r="C1141" s="5" t="s">
        <v>43</v>
      </c>
      <c r="D1141" s="5" t="s">
        <v>44</v>
      </c>
      <c r="E1141" s="5" t="str">
        <f>"陈志伟"</f>
        <v>陈志伟</v>
      </c>
      <c r="F1141" s="5" t="str">
        <f t="shared" ref="F1141:F1145" si="333">"男"</f>
        <v>男</v>
      </c>
      <c r="G1141" s="5" t="str">
        <f>"1986-10-01"</f>
        <v>1986-10-01</v>
      </c>
      <c r="H1141" s="5" t="str">
        <f>"广东石油化工学院"</f>
        <v>广东石油化工学院</v>
      </c>
    </row>
    <row r="1142" s="2" customFormat="1" ht="20" customHeight="1" spans="1:8">
      <c r="A1142" s="5">
        <v>1140</v>
      </c>
      <c r="B1142" s="5" t="str">
        <f>"223220191123184336210544"</f>
        <v>223220191123184336210544</v>
      </c>
      <c r="C1142" s="5" t="s">
        <v>43</v>
      </c>
      <c r="D1142" s="5" t="s">
        <v>44</v>
      </c>
      <c r="E1142" s="5" t="str">
        <f>"林玉姣"</f>
        <v>林玉姣</v>
      </c>
      <c r="F1142" s="5" t="str">
        <f t="shared" ref="F1142:F1146" si="334">"女"</f>
        <v>女</v>
      </c>
      <c r="G1142" s="5" t="str">
        <f>"1991-08-16"</f>
        <v>1991-08-16</v>
      </c>
      <c r="H1142" s="5" t="str">
        <f>"重庆三峡医药高等专科学校"</f>
        <v>重庆三峡医药高等专科学校</v>
      </c>
    </row>
    <row r="1143" s="2" customFormat="1" ht="20" customHeight="1" spans="1:8">
      <c r="A1143" s="5">
        <v>1141</v>
      </c>
      <c r="B1143" s="5" t="str">
        <f>"223220191123190920210563"</f>
        <v>223220191123190920210563</v>
      </c>
      <c r="C1143" s="5" t="s">
        <v>43</v>
      </c>
      <c r="D1143" s="5" t="s">
        <v>44</v>
      </c>
      <c r="E1143" s="5" t="str">
        <f>"陈茺蔚"</f>
        <v>陈茺蔚</v>
      </c>
      <c r="F1143" s="5" t="str">
        <f>"男"</f>
        <v>男</v>
      </c>
      <c r="G1143" s="5" t="str">
        <f>"1986-09-13"</f>
        <v>1986-09-13</v>
      </c>
      <c r="H1143" s="5" t="str">
        <f>"南京人口管理干部学院"</f>
        <v>南京人口管理干部学院</v>
      </c>
    </row>
    <row r="1144" s="2" customFormat="1" ht="20" customHeight="1" spans="1:8">
      <c r="A1144" s="5">
        <v>1142</v>
      </c>
      <c r="B1144" s="5" t="str">
        <f>"223220191123191546210567"</f>
        <v>223220191123191546210567</v>
      </c>
      <c r="C1144" s="5" t="s">
        <v>43</v>
      </c>
      <c r="D1144" s="5" t="s">
        <v>44</v>
      </c>
      <c r="E1144" s="5" t="str">
        <f>"符月贞"</f>
        <v>符月贞</v>
      </c>
      <c r="F1144" s="5" t="str">
        <f t="shared" ref="F1144:F1149" si="335">"女"</f>
        <v>女</v>
      </c>
      <c r="G1144" s="5" t="str">
        <f>"1996-10-16"</f>
        <v>1996-10-16</v>
      </c>
      <c r="H1144" s="5" t="str">
        <f>"海南工商职业学院"</f>
        <v>海南工商职业学院</v>
      </c>
    </row>
    <row r="1145" s="2" customFormat="1" ht="20" customHeight="1" spans="1:8">
      <c r="A1145" s="5">
        <v>1143</v>
      </c>
      <c r="B1145" s="5" t="str">
        <f>"223220191123192828210577"</f>
        <v>223220191123192828210577</v>
      </c>
      <c r="C1145" s="5" t="s">
        <v>43</v>
      </c>
      <c r="D1145" s="5" t="s">
        <v>44</v>
      </c>
      <c r="E1145" s="5" t="str">
        <f>"魏承振"</f>
        <v>魏承振</v>
      </c>
      <c r="F1145" s="5" t="str">
        <f>"男"</f>
        <v>男</v>
      </c>
      <c r="G1145" s="5" t="str">
        <f>"1992-06-22"</f>
        <v>1992-06-22</v>
      </c>
      <c r="H1145" s="5" t="str">
        <f>"琼州学院"</f>
        <v>琼州学院</v>
      </c>
    </row>
    <row r="1146" s="2" customFormat="1" ht="20" customHeight="1" spans="1:8">
      <c r="A1146" s="5">
        <v>1144</v>
      </c>
      <c r="B1146" s="5" t="str">
        <f>"223220191123194617210589"</f>
        <v>223220191123194617210589</v>
      </c>
      <c r="C1146" s="5" t="s">
        <v>43</v>
      </c>
      <c r="D1146" s="5" t="s">
        <v>44</v>
      </c>
      <c r="E1146" s="5" t="str">
        <f>"王志娟"</f>
        <v>王志娟</v>
      </c>
      <c r="F1146" s="5" t="str">
        <f>"女"</f>
        <v>女</v>
      </c>
      <c r="G1146" s="5" t="str">
        <f>"1996-05-08"</f>
        <v>1996-05-08</v>
      </c>
      <c r="H1146" s="5" t="str">
        <f>"中南林业科技大学"</f>
        <v>中南林业科技大学</v>
      </c>
    </row>
    <row r="1147" s="2" customFormat="1" ht="20" customHeight="1" spans="1:8">
      <c r="A1147" s="5">
        <v>1145</v>
      </c>
      <c r="B1147" s="5" t="str">
        <f>"223220191123195958210600"</f>
        <v>223220191123195958210600</v>
      </c>
      <c r="C1147" s="5" t="s">
        <v>43</v>
      </c>
      <c r="D1147" s="5" t="s">
        <v>44</v>
      </c>
      <c r="E1147" s="5" t="str">
        <f>"谢国贤"</f>
        <v>谢国贤</v>
      </c>
      <c r="F1147" s="5" t="str">
        <f t="shared" ref="F1147:F1154" si="336">"男"</f>
        <v>男</v>
      </c>
      <c r="G1147" s="5" t="str">
        <f>"1991-12-11"</f>
        <v>1991-12-11</v>
      </c>
      <c r="H1147" s="5" t="str">
        <f>"北京经济技术职业学院"</f>
        <v>北京经济技术职业学院</v>
      </c>
    </row>
    <row r="1148" s="2" customFormat="1" ht="20" customHeight="1" spans="1:8">
      <c r="A1148" s="5">
        <v>1146</v>
      </c>
      <c r="B1148" s="5" t="str">
        <f>"223220191123200840210607"</f>
        <v>223220191123200840210607</v>
      </c>
      <c r="C1148" s="5" t="s">
        <v>43</v>
      </c>
      <c r="D1148" s="5" t="s">
        <v>44</v>
      </c>
      <c r="E1148" s="5" t="str">
        <f>"孙有根"</f>
        <v>孙有根</v>
      </c>
      <c r="F1148" s="5" t="str">
        <f t="shared" si="336"/>
        <v>男</v>
      </c>
      <c r="G1148" s="5" t="str">
        <f>"1995-02-01"</f>
        <v>1995-02-01</v>
      </c>
      <c r="H1148" s="5" t="str">
        <f>"河南工业大学"</f>
        <v>河南工业大学</v>
      </c>
    </row>
    <row r="1149" s="2" customFormat="1" ht="20" customHeight="1" spans="1:8">
      <c r="A1149" s="5">
        <v>1147</v>
      </c>
      <c r="B1149" s="5" t="str">
        <f>"223220191123200956210609"</f>
        <v>223220191123200956210609</v>
      </c>
      <c r="C1149" s="5" t="s">
        <v>43</v>
      </c>
      <c r="D1149" s="5" t="s">
        <v>44</v>
      </c>
      <c r="E1149" s="5" t="str">
        <f>"岑永芳"</f>
        <v>岑永芳</v>
      </c>
      <c r="F1149" s="5" t="str">
        <f>"女"</f>
        <v>女</v>
      </c>
      <c r="G1149" s="5" t="str">
        <f>"1995-09-01"</f>
        <v>1995-09-01</v>
      </c>
      <c r="H1149" s="5" t="str">
        <f>"海南热带海洋学院"</f>
        <v>海南热带海洋学院</v>
      </c>
    </row>
    <row r="1150" s="2" customFormat="1" ht="20" customHeight="1" spans="1:8">
      <c r="A1150" s="5">
        <v>1148</v>
      </c>
      <c r="B1150" s="5" t="str">
        <f>"223220191123201555210618"</f>
        <v>223220191123201555210618</v>
      </c>
      <c r="C1150" s="5" t="s">
        <v>43</v>
      </c>
      <c r="D1150" s="5" t="s">
        <v>44</v>
      </c>
      <c r="E1150" s="5" t="str">
        <f>"符壮昌"</f>
        <v>符壮昌</v>
      </c>
      <c r="F1150" s="5" t="str">
        <f t="shared" ref="F1150:F1154" si="337">"男"</f>
        <v>男</v>
      </c>
      <c r="G1150" s="5" t="str">
        <f>"1995-06-08"</f>
        <v>1995-06-08</v>
      </c>
      <c r="H1150" s="5" t="str">
        <f>"海口经济学院"</f>
        <v>海口经济学院</v>
      </c>
    </row>
    <row r="1151" s="2" customFormat="1" ht="20" customHeight="1" spans="1:8">
      <c r="A1151" s="5">
        <v>1149</v>
      </c>
      <c r="B1151" s="5" t="str">
        <f>"223220191123203001210630"</f>
        <v>223220191123203001210630</v>
      </c>
      <c r="C1151" s="5" t="s">
        <v>43</v>
      </c>
      <c r="D1151" s="5" t="s">
        <v>44</v>
      </c>
      <c r="E1151" s="5" t="str">
        <f>"许伟"</f>
        <v>许伟</v>
      </c>
      <c r="F1151" s="5" t="str">
        <f t="shared" si="337"/>
        <v>男</v>
      </c>
      <c r="G1151" s="5" t="str">
        <f>"1984-11-10"</f>
        <v>1984-11-10</v>
      </c>
      <c r="H1151" s="5" t="str">
        <f>"海南大学"</f>
        <v>海南大学</v>
      </c>
    </row>
    <row r="1152" s="2" customFormat="1" ht="20" customHeight="1" spans="1:8">
      <c r="A1152" s="5">
        <v>1150</v>
      </c>
      <c r="B1152" s="5" t="str">
        <f>"223220191123203004210631"</f>
        <v>223220191123203004210631</v>
      </c>
      <c r="C1152" s="5" t="s">
        <v>43</v>
      </c>
      <c r="D1152" s="5" t="s">
        <v>44</v>
      </c>
      <c r="E1152" s="5" t="str">
        <f>"朱立强"</f>
        <v>朱立强</v>
      </c>
      <c r="F1152" s="5" t="str">
        <f t="shared" si="337"/>
        <v>男</v>
      </c>
      <c r="G1152" s="5" t="str">
        <f>"1992-12-10"</f>
        <v>1992-12-10</v>
      </c>
      <c r="H1152" s="5" t="str">
        <f>"西安财经学院"</f>
        <v>西安财经学院</v>
      </c>
    </row>
    <row r="1153" s="2" customFormat="1" ht="20" customHeight="1" spans="1:8">
      <c r="A1153" s="5">
        <v>1151</v>
      </c>
      <c r="B1153" s="5" t="str">
        <f>"223220191123203702210635"</f>
        <v>223220191123203702210635</v>
      </c>
      <c r="C1153" s="5" t="s">
        <v>43</v>
      </c>
      <c r="D1153" s="5" t="s">
        <v>44</v>
      </c>
      <c r="E1153" s="5" t="str">
        <f>"林才义"</f>
        <v>林才义</v>
      </c>
      <c r="F1153" s="5" t="str">
        <f t="shared" si="337"/>
        <v>男</v>
      </c>
      <c r="G1153" s="5" t="str">
        <f>"1990-06-17"</f>
        <v>1990-06-17</v>
      </c>
      <c r="H1153" s="5" t="str">
        <f>"长春工业大学人文信息学院"</f>
        <v>长春工业大学人文信息学院</v>
      </c>
    </row>
    <row r="1154" s="2" customFormat="1" ht="20" customHeight="1" spans="1:8">
      <c r="A1154" s="5">
        <v>1152</v>
      </c>
      <c r="B1154" s="5" t="str">
        <f>"223220191123212102210664"</f>
        <v>223220191123212102210664</v>
      </c>
      <c r="C1154" s="5" t="s">
        <v>43</v>
      </c>
      <c r="D1154" s="5" t="s">
        <v>44</v>
      </c>
      <c r="E1154" s="5" t="str">
        <f>"王家宇"</f>
        <v>王家宇</v>
      </c>
      <c r="F1154" s="5" t="str">
        <f t="shared" si="337"/>
        <v>男</v>
      </c>
      <c r="G1154" s="5" t="str">
        <f>"1991-10-04"</f>
        <v>1991-10-04</v>
      </c>
      <c r="H1154" s="5" t="str">
        <f>"三亚理工职业学院"</f>
        <v>三亚理工职业学院</v>
      </c>
    </row>
    <row r="1155" s="2" customFormat="1" ht="20" customHeight="1" spans="1:8">
      <c r="A1155" s="5">
        <v>1153</v>
      </c>
      <c r="B1155" s="5" t="str">
        <f>"223220191123214145210677"</f>
        <v>223220191123214145210677</v>
      </c>
      <c r="C1155" s="5" t="s">
        <v>43</v>
      </c>
      <c r="D1155" s="5" t="s">
        <v>44</v>
      </c>
      <c r="E1155" s="5" t="str">
        <f>"李秀娟"</f>
        <v>李秀娟</v>
      </c>
      <c r="F1155" s="5" t="str">
        <f t="shared" ref="F1155:F1160" si="338">"女"</f>
        <v>女</v>
      </c>
      <c r="G1155" s="5" t="str">
        <f>"1989-10-12"</f>
        <v>1989-10-12</v>
      </c>
      <c r="H1155" s="5" t="str">
        <f>"海口经济学院"</f>
        <v>海口经济学院</v>
      </c>
    </row>
    <row r="1156" s="2" customFormat="1" ht="20" customHeight="1" spans="1:8">
      <c r="A1156" s="5">
        <v>1154</v>
      </c>
      <c r="B1156" s="5" t="str">
        <f>"223220191123214352210679"</f>
        <v>223220191123214352210679</v>
      </c>
      <c r="C1156" s="5" t="s">
        <v>43</v>
      </c>
      <c r="D1156" s="5" t="s">
        <v>44</v>
      </c>
      <c r="E1156" s="5" t="str">
        <f>"刘静妃"</f>
        <v>刘静妃</v>
      </c>
      <c r="F1156" s="5" t="str">
        <f t="shared" si="338"/>
        <v>女</v>
      </c>
      <c r="G1156" s="5" t="str">
        <f>"1994-02-07"</f>
        <v>1994-02-07</v>
      </c>
      <c r="H1156" s="5" t="str">
        <f>"安徽中医药高等专科学校"</f>
        <v>安徽中医药高等专科学校</v>
      </c>
    </row>
    <row r="1157" s="2" customFormat="1" ht="20" customHeight="1" spans="1:8">
      <c r="A1157" s="5">
        <v>1155</v>
      </c>
      <c r="B1157" s="5" t="str">
        <f>"223220191123214551210680"</f>
        <v>223220191123214551210680</v>
      </c>
      <c r="C1157" s="5" t="s">
        <v>43</v>
      </c>
      <c r="D1157" s="5" t="s">
        <v>44</v>
      </c>
      <c r="E1157" s="5" t="str">
        <f>"羊精业"</f>
        <v>羊精业</v>
      </c>
      <c r="F1157" s="5" t="str">
        <f t="shared" ref="F1157:F1165" si="339">"男"</f>
        <v>男</v>
      </c>
      <c r="G1157" s="5" t="str">
        <f>"1988-06-09"</f>
        <v>1988-06-09</v>
      </c>
      <c r="H1157" s="5" t="str">
        <f>"武夷学院"</f>
        <v>武夷学院</v>
      </c>
    </row>
    <row r="1158" s="2" customFormat="1" ht="20" customHeight="1" spans="1:8">
      <c r="A1158" s="5">
        <v>1156</v>
      </c>
      <c r="B1158" s="5" t="str">
        <f>"223220191123220041210687"</f>
        <v>223220191123220041210687</v>
      </c>
      <c r="C1158" s="5" t="s">
        <v>43</v>
      </c>
      <c r="D1158" s="5" t="s">
        <v>44</v>
      </c>
      <c r="E1158" s="5" t="str">
        <f>"朱益智"</f>
        <v>朱益智</v>
      </c>
      <c r="F1158" s="5" t="str">
        <f t="shared" si="339"/>
        <v>男</v>
      </c>
      <c r="G1158" s="5" t="str">
        <f>"1997-03-26"</f>
        <v>1997-03-26</v>
      </c>
      <c r="H1158" s="5" t="str">
        <f>"湖南工业大学"</f>
        <v>湖南工业大学</v>
      </c>
    </row>
    <row r="1159" s="2" customFormat="1" ht="20" customHeight="1" spans="1:8">
      <c r="A1159" s="5">
        <v>1157</v>
      </c>
      <c r="B1159" s="5" t="str">
        <f>"223220191123222704210701"</f>
        <v>223220191123222704210701</v>
      </c>
      <c r="C1159" s="5" t="s">
        <v>43</v>
      </c>
      <c r="D1159" s="5" t="s">
        <v>44</v>
      </c>
      <c r="E1159" s="5" t="str">
        <f>"刘孟芳"</f>
        <v>刘孟芳</v>
      </c>
      <c r="F1159" s="5" t="str">
        <f>"女"</f>
        <v>女</v>
      </c>
      <c r="G1159" s="5" t="str">
        <f>"1996-12-31"</f>
        <v>1996-12-31</v>
      </c>
      <c r="H1159" s="5" t="str">
        <f>"海口经济学院"</f>
        <v>海口经济学院</v>
      </c>
    </row>
    <row r="1160" s="2" customFormat="1" ht="20" customHeight="1" spans="1:8">
      <c r="A1160" s="5">
        <v>1158</v>
      </c>
      <c r="B1160" s="5" t="str">
        <f>"223220191123222803210703"</f>
        <v>223220191123222803210703</v>
      </c>
      <c r="C1160" s="5" t="s">
        <v>43</v>
      </c>
      <c r="D1160" s="5" t="s">
        <v>44</v>
      </c>
      <c r="E1160" s="5" t="str">
        <f>"吴承方"</f>
        <v>吴承方</v>
      </c>
      <c r="F1160" s="5" t="str">
        <f>"女"</f>
        <v>女</v>
      </c>
      <c r="G1160" s="5" t="str">
        <f>"1995-05-21"</f>
        <v>1995-05-21</v>
      </c>
      <c r="H1160" s="5" t="str">
        <f>"湖南科技学院"</f>
        <v>湖南科技学院</v>
      </c>
    </row>
    <row r="1161" s="2" customFormat="1" ht="20" customHeight="1" spans="1:8">
      <c r="A1161" s="5">
        <v>1159</v>
      </c>
      <c r="B1161" s="5" t="str">
        <f>"223220191123232041210735"</f>
        <v>223220191123232041210735</v>
      </c>
      <c r="C1161" s="5" t="s">
        <v>43</v>
      </c>
      <c r="D1161" s="5" t="s">
        <v>44</v>
      </c>
      <c r="E1161" s="5" t="str">
        <f>"黄志雄"</f>
        <v>黄志雄</v>
      </c>
      <c r="F1161" s="5" t="str">
        <f t="shared" ref="F1161:F1165" si="340">"男"</f>
        <v>男</v>
      </c>
      <c r="G1161" s="5" t="str">
        <f>"1989-08-11"</f>
        <v>1989-08-11</v>
      </c>
      <c r="H1161" s="5" t="str">
        <f>"南昌理工学院"</f>
        <v>南昌理工学院</v>
      </c>
    </row>
    <row r="1162" s="2" customFormat="1" ht="20" customHeight="1" spans="1:8">
      <c r="A1162" s="5">
        <v>1160</v>
      </c>
      <c r="B1162" s="5" t="str">
        <f>"223220191123235144210748"</f>
        <v>223220191123235144210748</v>
      </c>
      <c r="C1162" s="5" t="s">
        <v>43</v>
      </c>
      <c r="D1162" s="5" t="s">
        <v>44</v>
      </c>
      <c r="E1162" s="5" t="str">
        <f>"许卓科"</f>
        <v>许卓科</v>
      </c>
      <c r="F1162" s="5" t="str">
        <f t="shared" si="340"/>
        <v>男</v>
      </c>
      <c r="G1162" s="5" t="str">
        <f>"1989-09-10"</f>
        <v>1989-09-10</v>
      </c>
      <c r="H1162" s="5" t="str">
        <f>"荆州教育学院"</f>
        <v>荆州教育学院</v>
      </c>
    </row>
    <row r="1163" s="2" customFormat="1" ht="20" customHeight="1" spans="1:8">
      <c r="A1163" s="5">
        <v>1161</v>
      </c>
      <c r="B1163" s="5" t="str">
        <f>"223220191124002013210753"</f>
        <v>223220191124002013210753</v>
      </c>
      <c r="C1163" s="5" t="s">
        <v>43</v>
      </c>
      <c r="D1163" s="5" t="s">
        <v>44</v>
      </c>
      <c r="E1163" s="5" t="str">
        <f>"钟海龙"</f>
        <v>钟海龙</v>
      </c>
      <c r="F1163" s="5" t="str">
        <f t="shared" si="340"/>
        <v>男</v>
      </c>
      <c r="G1163" s="5" t="str">
        <f>"1995-01-15"</f>
        <v>1995-01-15</v>
      </c>
      <c r="H1163" s="5" t="str">
        <f>"广西民族大学"</f>
        <v>广西民族大学</v>
      </c>
    </row>
    <row r="1164" s="2" customFormat="1" ht="20" customHeight="1" spans="1:8">
      <c r="A1164" s="5">
        <v>1162</v>
      </c>
      <c r="B1164" s="5" t="str">
        <f>"223220191124010437210756"</f>
        <v>223220191124010437210756</v>
      </c>
      <c r="C1164" s="5" t="s">
        <v>43</v>
      </c>
      <c r="D1164" s="5" t="s">
        <v>44</v>
      </c>
      <c r="E1164" s="5" t="str">
        <f>"吴生侬"</f>
        <v>吴生侬</v>
      </c>
      <c r="F1164" s="5" t="str">
        <f t="shared" si="340"/>
        <v>男</v>
      </c>
      <c r="G1164" s="5" t="str">
        <f>"1989-09-19"</f>
        <v>1989-09-19</v>
      </c>
      <c r="H1164" s="5" t="str">
        <f>"石家庄医学高等专科学校"</f>
        <v>石家庄医学高等专科学校</v>
      </c>
    </row>
    <row r="1165" s="2" customFormat="1" ht="20" customHeight="1" spans="1:8">
      <c r="A1165" s="5">
        <v>1163</v>
      </c>
      <c r="B1165" s="5" t="str">
        <f>"223220191124014902210758"</f>
        <v>223220191124014902210758</v>
      </c>
      <c r="C1165" s="5" t="s">
        <v>43</v>
      </c>
      <c r="D1165" s="5" t="s">
        <v>44</v>
      </c>
      <c r="E1165" s="5" t="str">
        <f>" 余文杰"</f>
        <v> 余文杰</v>
      </c>
      <c r="F1165" s="5" t="str">
        <f t="shared" si="340"/>
        <v>男</v>
      </c>
      <c r="G1165" s="5" t="str">
        <f>"1996-09-14"</f>
        <v>1996-09-14</v>
      </c>
      <c r="H1165" s="5" t="str">
        <f>"太原师范学院"</f>
        <v>太原师范学院</v>
      </c>
    </row>
    <row r="1166" s="2" customFormat="1" ht="20" customHeight="1" spans="1:8">
      <c r="A1166" s="5">
        <v>1164</v>
      </c>
      <c r="B1166" s="5" t="str">
        <f>"223220191124082520210770"</f>
        <v>223220191124082520210770</v>
      </c>
      <c r="C1166" s="5" t="s">
        <v>43</v>
      </c>
      <c r="D1166" s="5" t="s">
        <v>44</v>
      </c>
      <c r="E1166" s="5" t="str">
        <f>"钟敏敏"</f>
        <v>钟敏敏</v>
      </c>
      <c r="F1166" s="5" t="str">
        <f t="shared" ref="F1166:F1169" si="341">"女"</f>
        <v>女</v>
      </c>
      <c r="G1166" s="5" t="str">
        <f>"1993-10-22"</f>
        <v>1993-10-22</v>
      </c>
      <c r="H1166" s="5" t="str">
        <f>"海南经贸职业技术学院"</f>
        <v>海南经贸职业技术学院</v>
      </c>
    </row>
    <row r="1167" s="2" customFormat="1" ht="20" customHeight="1" spans="1:8">
      <c r="A1167" s="5">
        <v>1165</v>
      </c>
      <c r="B1167" s="5" t="str">
        <f>"223220191124100159210816"</f>
        <v>223220191124100159210816</v>
      </c>
      <c r="C1167" s="5" t="s">
        <v>43</v>
      </c>
      <c r="D1167" s="5" t="s">
        <v>44</v>
      </c>
      <c r="E1167" s="5" t="str">
        <f>"王伟标"</f>
        <v>王伟标</v>
      </c>
      <c r="F1167" s="5" t="str">
        <f t="shared" ref="F1167:F1171" si="342">"男"</f>
        <v>男</v>
      </c>
      <c r="G1167" s="5" t="str">
        <f>"1991-05-08"</f>
        <v>1991-05-08</v>
      </c>
      <c r="H1167" s="5" t="str">
        <f>"海南省海口市政法职业学院"</f>
        <v>海南省海口市政法职业学院</v>
      </c>
    </row>
    <row r="1168" s="2" customFormat="1" ht="20" customHeight="1" spans="1:8">
      <c r="A1168" s="5">
        <v>1166</v>
      </c>
      <c r="B1168" s="5" t="str">
        <f>"223220191124101315210823"</f>
        <v>223220191124101315210823</v>
      </c>
      <c r="C1168" s="5" t="s">
        <v>43</v>
      </c>
      <c r="D1168" s="5" t="s">
        <v>44</v>
      </c>
      <c r="E1168" s="5" t="str">
        <f>"罗晓琳"</f>
        <v>罗晓琳</v>
      </c>
      <c r="F1168" s="5" t="str">
        <f>"女"</f>
        <v>女</v>
      </c>
      <c r="G1168" s="5" t="str">
        <f>"1994-03-23"</f>
        <v>1994-03-23</v>
      </c>
      <c r="H1168" s="5" t="str">
        <f>"琼台师范高等专科学校"</f>
        <v>琼台师范高等专科学校</v>
      </c>
    </row>
    <row r="1169" s="2" customFormat="1" ht="20" customHeight="1" spans="1:8">
      <c r="A1169" s="5">
        <v>1167</v>
      </c>
      <c r="B1169" s="5" t="str">
        <f>"223220191124103216210836"</f>
        <v>223220191124103216210836</v>
      </c>
      <c r="C1169" s="5" t="s">
        <v>43</v>
      </c>
      <c r="D1169" s="5" t="s">
        <v>44</v>
      </c>
      <c r="E1169" s="5" t="str">
        <f>"谭倩真"</f>
        <v>谭倩真</v>
      </c>
      <c r="F1169" s="5" t="str">
        <f>"女"</f>
        <v>女</v>
      </c>
      <c r="G1169" s="5" t="str">
        <f>"1991-01-17"</f>
        <v>1991-01-17</v>
      </c>
      <c r="H1169" s="5" t="str">
        <f>"武夷学院"</f>
        <v>武夷学院</v>
      </c>
    </row>
    <row r="1170" s="2" customFormat="1" ht="20" customHeight="1" spans="1:8">
      <c r="A1170" s="5">
        <v>1168</v>
      </c>
      <c r="B1170" s="5" t="str">
        <f>"223220191124103311210838"</f>
        <v>223220191124103311210838</v>
      </c>
      <c r="C1170" s="5" t="s">
        <v>43</v>
      </c>
      <c r="D1170" s="5" t="s">
        <v>44</v>
      </c>
      <c r="E1170" s="5" t="str">
        <f>"李凡"</f>
        <v>李凡</v>
      </c>
      <c r="F1170" s="5" t="str">
        <f>"男"</f>
        <v>男</v>
      </c>
      <c r="G1170" s="5" t="str">
        <f>"1986-11-13"</f>
        <v>1986-11-13</v>
      </c>
      <c r="H1170" s="5" t="str">
        <f>"海南省琼台师范高等专科学校"</f>
        <v>海南省琼台师范高等专科学校</v>
      </c>
    </row>
    <row r="1171" s="2" customFormat="1" ht="20" customHeight="1" spans="1:8">
      <c r="A1171" s="5">
        <v>1169</v>
      </c>
      <c r="B1171" s="5" t="str">
        <f>"223220191124103414210839"</f>
        <v>223220191124103414210839</v>
      </c>
      <c r="C1171" s="5" t="s">
        <v>43</v>
      </c>
      <c r="D1171" s="5" t="s">
        <v>44</v>
      </c>
      <c r="E1171" s="5" t="str">
        <f>"何富勇"</f>
        <v>何富勇</v>
      </c>
      <c r="F1171" s="5" t="str">
        <f>"男"</f>
        <v>男</v>
      </c>
      <c r="G1171" s="5" t="str">
        <f>"1994-09-24"</f>
        <v>1994-09-24</v>
      </c>
      <c r="H1171" s="5" t="str">
        <f>"上海工商外国语职业学院"</f>
        <v>上海工商外国语职业学院</v>
      </c>
    </row>
    <row r="1172" s="2" customFormat="1" ht="20" customHeight="1" spans="1:8">
      <c r="A1172" s="5">
        <v>1170</v>
      </c>
      <c r="B1172" s="5" t="str">
        <f>"223220191124103441210840"</f>
        <v>223220191124103441210840</v>
      </c>
      <c r="C1172" s="5" t="s">
        <v>43</v>
      </c>
      <c r="D1172" s="5" t="s">
        <v>44</v>
      </c>
      <c r="E1172" s="5" t="str">
        <f>"赵顺玲"</f>
        <v>赵顺玲</v>
      </c>
      <c r="F1172" s="5" t="str">
        <f t="shared" ref="F1172:F1177" si="343">"女"</f>
        <v>女</v>
      </c>
      <c r="G1172" s="5" t="str">
        <f>"1993-10-19"</f>
        <v>1993-10-19</v>
      </c>
      <c r="H1172" s="5" t="str">
        <f>"海南工商职业学院"</f>
        <v>海南工商职业学院</v>
      </c>
    </row>
    <row r="1173" s="2" customFormat="1" ht="20" customHeight="1" spans="1:8">
      <c r="A1173" s="5">
        <v>1171</v>
      </c>
      <c r="B1173" s="5" t="str">
        <f>"223220191124104716210858"</f>
        <v>223220191124104716210858</v>
      </c>
      <c r="C1173" s="5" t="s">
        <v>43</v>
      </c>
      <c r="D1173" s="5" t="s">
        <v>44</v>
      </c>
      <c r="E1173" s="5" t="str">
        <f>"蔡振红"</f>
        <v>蔡振红</v>
      </c>
      <c r="F1173" s="5" t="str">
        <f t="shared" ref="F1173:F1179" si="344">"男"</f>
        <v>男</v>
      </c>
      <c r="G1173" s="5" t="str">
        <f>"1988-08-13"</f>
        <v>1988-08-13</v>
      </c>
      <c r="H1173" s="5" t="str">
        <f>"琼台师范高等专科学校"</f>
        <v>琼台师范高等专科学校</v>
      </c>
    </row>
    <row r="1174" s="2" customFormat="1" ht="20" customHeight="1" spans="1:8">
      <c r="A1174" s="5">
        <v>1172</v>
      </c>
      <c r="B1174" s="5" t="str">
        <f>"223220191124105923210869"</f>
        <v>223220191124105923210869</v>
      </c>
      <c r="C1174" s="5" t="s">
        <v>43</v>
      </c>
      <c r="D1174" s="5" t="s">
        <v>44</v>
      </c>
      <c r="E1174" s="5" t="str">
        <f>"符世泽"</f>
        <v>符世泽</v>
      </c>
      <c r="F1174" s="5" t="str">
        <f t="shared" si="344"/>
        <v>男</v>
      </c>
      <c r="G1174" s="5" t="str">
        <f>"1984-11-13"</f>
        <v>1984-11-13</v>
      </c>
      <c r="H1174" s="5" t="str">
        <f>"海南政法职业学院"</f>
        <v>海南政法职业学院</v>
      </c>
    </row>
    <row r="1175" s="2" customFormat="1" ht="20" customHeight="1" spans="1:8">
      <c r="A1175" s="5">
        <v>1173</v>
      </c>
      <c r="B1175" s="5" t="str">
        <f>"223220191124111652210893"</f>
        <v>223220191124111652210893</v>
      </c>
      <c r="C1175" s="5" t="s">
        <v>43</v>
      </c>
      <c r="D1175" s="5" t="s">
        <v>44</v>
      </c>
      <c r="E1175" s="5" t="str">
        <f>"王美基"</f>
        <v>王美基</v>
      </c>
      <c r="F1175" s="5" t="str">
        <f t="shared" ref="F1175:F1177" si="345">"女"</f>
        <v>女</v>
      </c>
      <c r="G1175" s="5" t="str">
        <f>"1995-01-12"</f>
        <v>1995-01-12</v>
      </c>
      <c r="H1175" s="5" t="str">
        <f>"江西科技师范大学"</f>
        <v>江西科技师范大学</v>
      </c>
    </row>
    <row r="1176" s="2" customFormat="1" ht="20" customHeight="1" spans="1:8">
      <c r="A1176" s="5">
        <v>1174</v>
      </c>
      <c r="B1176" s="5" t="str">
        <f>"223220191124111956210897"</f>
        <v>223220191124111956210897</v>
      </c>
      <c r="C1176" s="5" t="s">
        <v>43</v>
      </c>
      <c r="D1176" s="5" t="s">
        <v>44</v>
      </c>
      <c r="E1176" s="5" t="str">
        <f>"文丹"</f>
        <v>文丹</v>
      </c>
      <c r="F1176" s="5" t="str">
        <f t="shared" si="345"/>
        <v>女</v>
      </c>
      <c r="G1176" s="5" t="str">
        <f>"1990-09-04"</f>
        <v>1990-09-04</v>
      </c>
      <c r="H1176" s="5" t="str">
        <f>"琼州学院"</f>
        <v>琼州学院</v>
      </c>
    </row>
    <row r="1177" s="2" customFormat="1" ht="20" customHeight="1" spans="1:8">
      <c r="A1177" s="5">
        <v>1175</v>
      </c>
      <c r="B1177" s="5" t="str">
        <f>"223220191124112249210902"</f>
        <v>223220191124112249210902</v>
      </c>
      <c r="C1177" s="5" t="s">
        <v>43</v>
      </c>
      <c r="D1177" s="5" t="s">
        <v>44</v>
      </c>
      <c r="E1177" s="5" t="str">
        <f>"李姗姗"</f>
        <v>李姗姗</v>
      </c>
      <c r="F1177" s="5" t="str">
        <f t="shared" si="345"/>
        <v>女</v>
      </c>
      <c r="G1177" s="5" t="str">
        <f>"1997-01-16"</f>
        <v>1997-01-16</v>
      </c>
      <c r="H1177" s="5" t="str">
        <f>"海口经济学院"</f>
        <v>海口经济学院</v>
      </c>
    </row>
    <row r="1178" s="2" customFormat="1" ht="20" customHeight="1" spans="1:8">
      <c r="A1178" s="5">
        <v>1176</v>
      </c>
      <c r="B1178" s="5" t="str">
        <f>"223220191124112713210905"</f>
        <v>223220191124112713210905</v>
      </c>
      <c r="C1178" s="5" t="s">
        <v>43</v>
      </c>
      <c r="D1178" s="5" t="s">
        <v>44</v>
      </c>
      <c r="E1178" s="5" t="str">
        <f>"郑雨霖"</f>
        <v>郑雨霖</v>
      </c>
      <c r="F1178" s="5" t="str">
        <f t="shared" ref="F1178:F1183" si="346">"男"</f>
        <v>男</v>
      </c>
      <c r="G1178" s="5" t="str">
        <f>"1995-01-19"</f>
        <v>1995-01-19</v>
      </c>
      <c r="H1178" s="5" t="str">
        <f>"海南政法职业学院"</f>
        <v>海南政法职业学院</v>
      </c>
    </row>
    <row r="1179" s="2" customFormat="1" ht="20" customHeight="1" spans="1:8">
      <c r="A1179" s="5">
        <v>1177</v>
      </c>
      <c r="B1179" s="5" t="str">
        <f>"223220191124114410210923"</f>
        <v>223220191124114410210923</v>
      </c>
      <c r="C1179" s="5" t="s">
        <v>43</v>
      </c>
      <c r="D1179" s="5" t="s">
        <v>44</v>
      </c>
      <c r="E1179" s="5" t="str">
        <f>"华坚"</f>
        <v>华坚</v>
      </c>
      <c r="F1179" s="5" t="str">
        <f t="shared" si="346"/>
        <v>男</v>
      </c>
      <c r="G1179" s="5" t="str">
        <f>"1985-10-22"</f>
        <v>1985-10-22</v>
      </c>
      <c r="H1179" s="5" t="str">
        <f>"陕西省西京学院"</f>
        <v>陕西省西京学院</v>
      </c>
    </row>
    <row r="1180" s="2" customFormat="1" ht="20" customHeight="1" spans="1:8">
      <c r="A1180" s="5">
        <v>1178</v>
      </c>
      <c r="B1180" s="5" t="str">
        <f>"223220191124114721210927"</f>
        <v>223220191124114721210927</v>
      </c>
      <c r="C1180" s="5" t="s">
        <v>43</v>
      </c>
      <c r="D1180" s="5" t="s">
        <v>44</v>
      </c>
      <c r="E1180" s="5" t="str">
        <f>"颜雯"</f>
        <v>颜雯</v>
      </c>
      <c r="F1180" s="5" t="str">
        <f t="shared" ref="F1180:F1184" si="347">"女"</f>
        <v>女</v>
      </c>
      <c r="G1180" s="5" t="str">
        <f>"1989-09-10"</f>
        <v>1989-09-10</v>
      </c>
      <c r="H1180" s="5" t="str">
        <f>"琼州学院"</f>
        <v>琼州学院</v>
      </c>
    </row>
    <row r="1181" s="2" customFormat="1" ht="20" customHeight="1" spans="1:8">
      <c r="A1181" s="5">
        <v>1179</v>
      </c>
      <c r="B1181" s="5" t="str">
        <f>"223220191124121858210963"</f>
        <v>223220191124121858210963</v>
      </c>
      <c r="C1181" s="5" t="s">
        <v>43</v>
      </c>
      <c r="D1181" s="5" t="s">
        <v>44</v>
      </c>
      <c r="E1181" s="5" t="str">
        <f>"唐彬"</f>
        <v>唐彬</v>
      </c>
      <c r="F1181" s="5" t="str">
        <f t="shared" ref="F1181:F1185" si="348">"男"</f>
        <v>男</v>
      </c>
      <c r="G1181" s="5" t="str">
        <f>"1990-03-06"</f>
        <v>1990-03-06</v>
      </c>
      <c r="H1181" s="5" t="str">
        <f>"河北科技师范学院"</f>
        <v>河北科技师范学院</v>
      </c>
    </row>
    <row r="1182" s="2" customFormat="1" ht="20" customHeight="1" spans="1:8">
      <c r="A1182" s="5">
        <v>1180</v>
      </c>
      <c r="B1182" s="5" t="str">
        <f>"223220191124130134210999"</f>
        <v>223220191124130134210999</v>
      </c>
      <c r="C1182" s="5" t="s">
        <v>43</v>
      </c>
      <c r="D1182" s="5" t="s">
        <v>44</v>
      </c>
      <c r="E1182" s="5" t="str">
        <f>"谭小妹"</f>
        <v>谭小妹</v>
      </c>
      <c r="F1182" s="5" t="str">
        <f>"女"</f>
        <v>女</v>
      </c>
      <c r="G1182" s="5" t="str">
        <f>"1990-10-04"</f>
        <v>1990-10-04</v>
      </c>
      <c r="H1182" s="5" t="str">
        <f>"安顺学院"</f>
        <v>安顺学院</v>
      </c>
    </row>
    <row r="1183" s="2" customFormat="1" ht="20" customHeight="1" spans="1:8">
      <c r="A1183" s="5">
        <v>1181</v>
      </c>
      <c r="B1183" s="5" t="str">
        <f>"223220191124140830211055"</f>
        <v>223220191124140830211055</v>
      </c>
      <c r="C1183" s="5" t="s">
        <v>43</v>
      </c>
      <c r="D1183" s="5" t="s">
        <v>44</v>
      </c>
      <c r="E1183" s="5" t="str">
        <f>"林又学"</f>
        <v>林又学</v>
      </c>
      <c r="F1183" s="5" t="str">
        <f>"男"</f>
        <v>男</v>
      </c>
      <c r="G1183" s="5" t="str">
        <f>"1993-04-23"</f>
        <v>1993-04-23</v>
      </c>
      <c r="H1183" s="5" t="str">
        <f>"武汉生物工程学院"</f>
        <v>武汉生物工程学院</v>
      </c>
    </row>
    <row r="1184" s="2" customFormat="1" ht="20" customHeight="1" spans="1:8">
      <c r="A1184" s="5">
        <v>1182</v>
      </c>
      <c r="B1184" s="5" t="str">
        <f>"223220191124142509211067"</f>
        <v>223220191124142509211067</v>
      </c>
      <c r="C1184" s="5" t="s">
        <v>43</v>
      </c>
      <c r="D1184" s="5" t="s">
        <v>44</v>
      </c>
      <c r="E1184" s="5" t="str">
        <f>"石蕾"</f>
        <v>石蕾</v>
      </c>
      <c r="F1184" s="5" t="str">
        <f>"女"</f>
        <v>女</v>
      </c>
      <c r="G1184" s="5" t="str">
        <f>"1994-04-06"</f>
        <v>1994-04-06</v>
      </c>
      <c r="H1184" s="5" t="str">
        <f>"中国地质大学江城学院"</f>
        <v>中国地质大学江城学院</v>
      </c>
    </row>
    <row r="1185" s="2" customFormat="1" ht="20" customHeight="1" spans="1:8">
      <c r="A1185" s="5">
        <v>1183</v>
      </c>
      <c r="B1185" s="5" t="str">
        <f>"223220191124150006211090"</f>
        <v>223220191124150006211090</v>
      </c>
      <c r="C1185" s="5" t="s">
        <v>43</v>
      </c>
      <c r="D1185" s="5" t="s">
        <v>44</v>
      </c>
      <c r="E1185" s="5" t="str">
        <f>"符秉志"</f>
        <v>符秉志</v>
      </c>
      <c r="F1185" s="5" t="str">
        <f>"男"</f>
        <v>男</v>
      </c>
      <c r="G1185" s="5" t="str">
        <f>"1992-01-03"</f>
        <v>1992-01-03</v>
      </c>
      <c r="H1185" s="5" t="str">
        <f>"上海思博职业技术学院"</f>
        <v>上海思博职业技术学院</v>
      </c>
    </row>
    <row r="1186" s="2" customFormat="1" ht="20" customHeight="1" spans="1:8">
      <c r="A1186" s="5">
        <v>1184</v>
      </c>
      <c r="B1186" s="5" t="str">
        <f>"223220191124150508211097"</f>
        <v>223220191124150508211097</v>
      </c>
      <c r="C1186" s="5" t="s">
        <v>43</v>
      </c>
      <c r="D1186" s="5" t="s">
        <v>44</v>
      </c>
      <c r="E1186" s="5" t="str">
        <f>"黄艳秋"</f>
        <v>黄艳秋</v>
      </c>
      <c r="F1186" s="5" t="str">
        <f t="shared" ref="F1186:F1189" si="349">"女"</f>
        <v>女</v>
      </c>
      <c r="G1186" s="5" t="str">
        <f>"1993-04-07"</f>
        <v>1993-04-07</v>
      </c>
      <c r="H1186" s="5" t="str">
        <f>"长江大学"</f>
        <v>长江大学</v>
      </c>
    </row>
    <row r="1187" s="2" customFormat="1" ht="20" customHeight="1" spans="1:8">
      <c r="A1187" s="5">
        <v>1185</v>
      </c>
      <c r="B1187" s="5" t="str">
        <f>"223220191124151827211103"</f>
        <v>223220191124151827211103</v>
      </c>
      <c r="C1187" s="5" t="s">
        <v>43</v>
      </c>
      <c r="D1187" s="5" t="s">
        <v>44</v>
      </c>
      <c r="E1187" s="5" t="str">
        <f>"符圣旋"</f>
        <v>符圣旋</v>
      </c>
      <c r="F1187" s="5" t="str">
        <f t="shared" si="349"/>
        <v>女</v>
      </c>
      <c r="G1187" s="5" t="str">
        <f>"1996-10-04"</f>
        <v>1996-10-04</v>
      </c>
      <c r="H1187" s="5" t="str">
        <f>"湘潭大学兴湘学院"</f>
        <v>湘潭大学兴湘学院</v>
      </c>
    </row>
    <row r="1188" s="2" customFormat="1" ht="20" customHeight="1" spans="1:8">
      <c r="A1188" s="5">
        <v>1186</v>
      </c>
      <c r="B1188" s="5" t="str">
        <f>"223220191124152932211110"</f>
        <v>223220191124152932211110</v>
      </c>
      <c r="C1188" s="5" t="s">
        <v>43</v>
      </c>
      <c r="D1188" s="5" t="s">
        <v>44</v>
      </c>
      <c r="E1188" s="5" t="str">
        <f>"李秋香"</f>
        <v>李秋香</v>
      </c>
      <c r="F1188" s="5" t="str">
        <f t="shared" si="349"/>
        <v>女</v>
      </c>
      <c r="G1188" s="5" t="str">
        <f>"1992-10-02"</f>
        <v>1992-10-02</v>
      </c>
      <c r="H1188" s="5" t="str">
        <f>"成都工业学院"</f>
        <v>成都工业学院</v>
      </c>
    </row>
    <row r="1189" s="2" customFormat="1" ht="20" customHeight="1" spans="1:8">
      <c r="A1189" s="5">
        <v>1187</v>
      </c>
      <c r="B1189" s="5" t="str">
        <f>"223220191124160250211130"</f>
        <v>223220191124160250211130</v>
      </c>
      <c r="C1189" s="5" t="s">
        <v>43</v>
      </c>
      <c r="D1189" s="5" t="s">
        <v>44</v>
      </c>
      <c r="E1189" s="5" t="str">
        <f>"李儒秀"</f>
        <v>李儒秀</v>
      </c>
      <c r="F1189" s="5" t="str">
        <f t="shared" si="349"/>
        <v>女</v>
      </c>
      <c r="G1189" s="5" t="str">
        <f>"1993-10-22"</f>
        <v>1993-10-22</v>
      </c>
      <c r="H1189" s="5" t="str">
        <f>"云南大学旅游文化学院"</f>
        <v>云南大学旅游文化学院</v>
      </c>
    </row>
    <row r="1190" s="2" customFormat="1" ht="20" customHeight="1" spans="1:8">
      <c r="A1190" s="5">
        <v>1188</v>
      </c>
      <c r="B1190" s="5" t="str">
        <f>"223220191124172934211188"</f>
        <v>223220191124172934211188</v>
      </c>
      <c r="C1190" s="5" t="s">
        <v>43</v>
      </c>
      <c r="D1190" s="5" t="s">
        <v>44</v>
      </c>
      <c r="E1190" s="5" t="str">
        <f>"羊中华"</f>
        <v>羊中华</v>
      </c>
      <c r="F1190" s="5" t="str">
        <f t="shared" ref="F1190:F1198" si="350">"男"</f>
        <v>男</v>
      </c>
      <c r="G1190" s="5" t="str">
        <f>"1994-08-15"</f>
        <v>1994-08-15</v>
      </c>
      <c r="H1190" s="5" t="str">
        <f>"福州职业技术学院"</f>
        <v>福州职业技术学院</v>
      </c>
    </row>
    <row r="1191" s="2" customFormat="1" ht="20" customHeight="1" spans="1:8">
      <c r="A1191" s="5">
        <v>1189</v>
      </c>
      <c r="B1191" s="5" t="str">
        <f>"223220191124173216211190"</f>
        <v>223220191124173216211190</v>
      </c>
      <c r="C1191" s="5" t="s">
        <v>43</v>
      </c>
      <c r="D1191" s="5" t="s">
        <v>44</v>
      </c>
      <c r="E1191" s="5" t="str">
        <f>"羊汉英"</f>
        <v>羊汉英</v>
      </c>
      <c r="F1191" s="5" t="str">
        <f t="shared" si="350"/>
        <v>男</v>
      </c>
      <c r="G1191" s="5" t="str">
        <f>"1995-08-08"</f>
        <v>1995-08-08</v>
      </c>
      <c r="H1191" s="5" t="str">
        <f>"海南政法职业学院"</f>
        <v>海南政法职业学院</v>
      </c>
    </row>
    <row r="1192" s="2" customFormat="1" ht="20" customHeight="1" spans="1:8">
      <c r="A1192" s="5">
        <v>1190</v>
      </c>
      <c r="B1192" s="5" t="str">
        <f>"223220191124180234211209"</f>
        <v>223220191124180234211209</v>
      </c>
      <c r="C1192" s="5" t="s">
        <v>43</v>
      </c>
      <c r="D1192" s="5" t="s">
        <v>44</v>
      </c>
      <c r="E1192" s="5" t="str">
        <f>"符可意"</f>
        <v>符可意</v>
      </c>
      <c r="F1192" s="5" t="str">
        <f t="shared" si="350"/>
        <v>男</v>
      </c>
      <c r="G1192" s="5" t="str">
        <f>"1997-10-01"</f>
        <v>1997-10-01</v>
      </c>
      <c r="H1192" s="5" t="str">
        <f>"广西城市职业学院"</f>
        <v>广西城市职业学院</v>
      </c>
    </row>
    <row r="1193" s="2" customFormat="1" ht="20" customHeight="1" spans="1:8">
      <c r="A1193" s="5">
        <v>1191</v>
      </c>
      <c r="B1193" s="5" t="str">
        <f>"223220191124181600211218"</f>
        <v>223220191124181600211218</v>
      </c>
      <c r="C1193" s="5" t="s">
        <v>43</v>
      </c>
      <c r="D1193" s="5" t="s">
        <v>44</v>
      </c>
      <c r="E1193" s="5" t="str">
        <f>"温德祥"</f>
        <v>温德祥</v>
      </c>
      <c r="F1193" s="5" t="str">
        <f t="shared" si="350"/>
        <v>男</v>
      </c>
      <c r="G1193" s="5" t="str">
        <f>"1997-10-07"</f>
        <v>1997-10-07</v>
      </c>
      <c r="H1193" s="5" t="str">
        <f>"海口经济学院"</f>
        <v>海口经济学院</v>
      </c>
    </row>
    <row r="1194" s="2" customFormat="1" ht="20" customHeight="1" spans="1:8">
      <c r="A1194" s="5">
        <v>1192</v>
      </c>
      <c r="B1194" s="5" t="str">
        <f>"223220191124190218211252"</f>
        <v>223220191124190218211252</v>
      </c>
      <c r="C1194" s="5" t="s">
        <v>43</v>
      </c>
      <c r="D1194" s="5" t="s">
        <v>44</v>
      </c>
      <c r="E1194" s="5" t="str">
        <f>"邱进达"</f>
        <v>邱进达</v>
      </c>
      <c r="F1194" s="5" t="str">
        <f t="shared" si="350"/>
        <v>男</v>
      </c>
      <c r="G1194" s="5" t="str">
        <f>"1994-01-01"</f>
        <v>1994-01-01</v>
      </c>
      <c r="H1194" s="5" t="str">
        <f>"湖南工学院"</f>
        <v>湖南工学院</v>
      </c>
    </row>
    <row r="1195" s="2" customFormat="1" ht="20" customHeight="1" spans="1:8">
      <c r="A1195" s="5">
        <v>1193</v>
      </c>
      <c r="B1195" s="5" t="str">
        <f>"223220191124191512211264"</f>
        <v>223220191124191512211264</v>
      </c>
      <c r="C1195" s="5" t="s">
        <v>43</v>
      </c>
      <c r="D1195" s="5" t="s">
        <v>44</v>
      </c>
      <c r="E1195" s="5" t="str">
        <f>"李正鸿"</f>
        <v>李正鸿</v>
      </c>
      <c r="F1195" s="5" t="str">
        <f t="shared" si="350"/>
        <v>男</v>
      </c>
      <c r="G1195" s="5" t="str">
        <f>"1996-03-06"</f>
        <v>1996-03-06</v>
      </c>
      <c r="H1195" s="5" t="str">
        <f>"四川建筑职业技术学院"</f>
        <v>四川建筑职业技术学院</v>
      </c>
    </row>
    <row r="1196" s="2" customFormat="1" ht="20" customHeight="1" spans="1:8">
      <c r="A1196" s="5">
        <v>1194</v>
      </c>
      <c r="B1196" s="5" t="str">
        <f>"223220191124195416211300"</f>
        <v>223220191124195416211300</v>
      </c>
      <c r="C1196" s="5" t="s">
        <v>43</v>
      </c>
      <c r="D1196" s="5" t="s">
        <v>44</v>
      </c>
      <c r="E1196" s="5" t="str">
        <f>"李常坚"</f>
        <v>李常坚</v>
      </c>
      <c r="F1196" s="5" t="str">
        <f t="shared" si="350"/>
        <v>男</v>
      </c>
      <c r="G1196" s="5" t="str">
        <f>"1992-10-20"</f>
        <v>1992-10-20</v>
      </c>
      <c r="H1196" s="5" t="str">
        <f>"海南省三亚理工职业学院"</f>
        <v>海南省三亚理工职业学院</v>
      </c>
    </row>
    <row r="1197" s="2" customFormat="1" ht="20" customHeight="1" spans="1:8">
      <c r="A1197" s="5">
        <v>1195</v>
      </c>
      <c r="B1197" s="5" t="str">
        <f>"223220191124195725211304"</f>
        <v>223220191124195725211304</v>
      </c>
      <c r="C1197" s="5" t="s">
        <v>43</v>
      </c>
      <c r="D1197" s="5" t="s">
        <v>44</v>
      </c>
      <c r="E1197" s="5" t="str">
        <f>"杨世明"</f>
        <v>杨世明</v>
      </c>
      <c r="F1197" s="5" t="str">
        <f t="shared" si="350"/>
        <v>男</v>
      </c>
      <c r="G1197" s="5" t="str">
        <f>"1990-09-11"</f>
        <v>1990-09-11</v>
      </c>
      <c r="H1197" s="5" t="str">
        <f>"广东培正学院"</f>
        <v>广东培正学院</v>
      </c>
    </row>
    <row r="1198" s="2" customFormat="1" ht="20" customHeight="1" spans="1:8">
      <c r="A1198" s="5">
        <v>1196</v>
      </c>
      <c r="B1198" s="5" t="str">
        <f>"223220191124205316211356"</f>
        <v>223220191124205316211356</v>
      </c>
      <c r="C1198" s="5" t="s">
        <v>43</v>
      </c>
      <c r="D1198" s="5" t="s">
        <v>44</v>
      </c>
      <c r="E1198" s="5" t="str">
        <f>"羊超"</f>
        <v>羊超</v>
      </c>
      <c r="F1198" s="5" t="str">
        <f t="shared" si="350"/>
        <v>男</v>
      </c>
      <c r="G1198" s="5" t="str">
        <f>"1989-04-14"</f>
        <v>1989-04-14</v>
      </c>
      <c r="H1198" s="5" t="str">
        <f>"海南琼州学院"</f>
        <v>海南琼州学院</v>
      </c>
    </row>
    <row r="1199" s="2" customFormat="1" ht="20" customHeight="1" spans="1:8">
      <c r="A1199" s="5">
        <v>1197</v>
      </c>
      <c r="B1199" s="5" t="str">
        <f>"223220191124210221211366"</f>
        <v>223220191124210221211366</v>
      </c>
      <c r="C1199" s="5" t="s">
        <v>43</v>
      </c>
      <c r="D1199" s="5" t="s">
        <v>44</v>
      </c>
      <c r="E1199" s="5" t="str">
        <f>"刘梅竹"</f>
        <v>刘梅竹</v>
      </c>
      <c r="F1199" s="5" t="str">
        <f t="shared" ref="F1199:F1206" si="351">"女"</f>
        <v>女</v>
      </c>
      <c r="G1199" s="5" t="str">
        <f>"1992-07-09"</f>
        <v>1992-07-09</v>
      </c>
      <c r="H1199" s="5" t="str">
        <f>"西安外事学院"</f>
        <v>西安外事学院</v>
      </c>
    </row>
    <row r="1200" s="2" customFormat="1" ht="20" customHeight="1" spans="1:8">
      <c r="A1200" s="5">
        <v>1198</v>
      </c>
      <c r="B1200" s="5" t="str">
        <f>"223220191124210647211371"</f>
        <v>223220191124210647211371</v>
      </c>
      <c r="C1200" s="5" t="s">
        <v>43</v>
      </c>
      <c r="D1200" s="5" t="s">
        <v>44</v>
      </c>
      <c r="E1200" s="5" t="str">
        <f>"林雪"</f>
        <v>林雪</v>
      </c>
      <c r="F1200" s="5" t="str">
        <f t="shared" si="351"/>
        <v>女</v>
      </c>
      <c r="G1200" s="5" t="str">
        <f>"1995-02-24"</f>
        <v>1995-02-24</v>
      </c>
      <c r="H1200" s="5" t="str">
        <f>"三亚学院"</f>
        <v>三亚学院</v>
      </c>
    </row>
    <row r="1201" s="2" customFormat="1" ht="20" customHeight="1" spans="1:8">
      <c r="A1201" s="5">
        <v>1199</v>
      </c>
      <c r="B1201" s="5" t="str">
        <f>"223220191124212859211396"</f>
        <v>223220191124212859211396</v>
      </c>
      <c r="C1201" s="5" t="s">
        <v>43</v>
      </c>
      <c r="D1201" s="5" t="s">
        <v>44</v>
      </c>
      <c r="E1201" s="5" t="str">
        <f>"刘文锋"</f>
        <v>刘文锋</v>
      </c>
      <c r="F1201" s="5" t="str">
        <f t="shared" ref="F1201:F1203" si="352">"男"</f>
        <v>男</v>
      </c>
      <c r="G1201" s="5" t="str">
        <f>"1991-11-17"</f>
        <v>1991-11-17</v>
      </c>
      <c r="H1201" s="5" t="str">
        <f>"三亚学院"</f>
        <v>三亚学院</v>
      </c>
    </row>
    <row r="1202" s="2" customFormat="1" ht="20" customHeight="1" spans="1:8">
      <c r="A1202" s="5">
        <v>1200</v>
      </c>
      <c r="B1202" s="5" t="str">
        <f>"223220191124213926211405"</f>
        <v>223220191124213926211405</v>
      </c>
      <c r="C1202" s="5" t="s">
        <v>43</v>
      </c>
      <c r="D1202" s="5" t="s">
        <v>44</v>
      </c>
      <c r="E1202" s="5" t="str">
        <f>"邓少敏"</f>
        <v>邓少敏</v>
      </c>
      <c r="F1202" s="5" t="str">
        <f t="shared" si="352"/>
        <v>男</v>
      </c>
      <c r="G1202" s="5" t="str">
        <f>"1989-05-29"</f>
        <v>1989-05-29</v>
      </c>
      <c r="H1202" s="5" t="str">
        <f>"海南政法职业学院"</f>
        <v>海南政法职业学院</v>
      </c>
    </row>
    <row r="1203" s="2" customFormat="1" ht="20" customHeight="1" spans="1:8">
      <c r="A1203" s="5">
        <v>1201</v>
      </c>
      <c r="B1203" s="5" t="str">
        <f>"223220191124215835211414"</f>
        <v>223220191124215835211414</v>
      </c>
      <c r="C1203" s="5" t="s">
        <v>43</v>
      </c>
      <c r="D1203" s="5" t="s">
        <v>44</v>
      </c>
      <c r="E1203" s="5" t="str">
        <f>"李儒生"</f>
        <v>李儒生</v>
      </c>
      <c r="F1203" s="5" t="str">
        <f t="shared" si="352"/>
        <v>男</v>
      </c>
      <c r="G1203" s="5" t="str">
        <f>"1991-02-15"</f>
        <v>1991-02-15</v>
      </c>
      <c r="H1203" s="5" t="str">
        <f>"三峡大学科技学院"</f>
        <v>三峡大学科技学院</v>
      </c>
    </row>
    <row r="1204" s="2" customFormat="1" ht="20" customHeight="1" spans="1:8">
      <c r="A1204" s="5">
        <v>1202</v>
      </c>
      <c r="B1204" s="5" t="str">
        <f>"223220191124215949211416"</f>
        <v>223220191124215949211416</v>
      </c>
      <c r="C1204" s="5" t="s">
        <v>43</v>
      </c>
      <c r="D1204" s="5" t="s">
        <v>44</v>
      </c>
      <c r="E1204" s="5" t="str">
        <f>"张金金"</f>
        <v>张金金</v>
      </c>
      <c r="F1204" s="5" t="str">
        <f t="shared" ref="F1204:F1206" si="353">"女"</f>
        <v>女</v>
      </c>
      <c r="G1204" s="5" t="str">
        <f>"1989-10-13"</f>
        <v>1989-10-13</v>
      </c>
      <c r="H1204" s="5" t="str">
        <f>"厦门海洋职业技术学院"</f>
        <v>厦门海洋职业技术学院</v>
      </c>
    </row>
    <row r="1205" s="2" customFormat="1" ht="20" customHeight="1" spans="1:8">
      <c r="A1205" s="5">
        <v>1203</v>
      </c>
      <c r="B1205" s="5" t="str">
        <f>"223220191124224316211447"</f>
        <v>223220191124224316211447</v>
      </c>
      <c r="C1205" s="5" t="s">
        <v>43</v>
      </c>
      <c r="D1205" s="5" t="s">
        <v>44</v>
      </c>
      <c r="E1205" s="5" t="str">
        <f>"黄明莉"</f>
        <v>黄明莉</v>
      </c>
      <c r="F1205" s="5" t="str">
        <f t="shared" si="353"/>
        <v>女</v>
      </c>
      <c r="G1205" s="5" t="str">
        <f>"1997-03-04"</f>
        <v>1997-03-04</v>
      </c>
      <c r="H1205" s="5" t="str">
        <f>"北京城市学院"</f>
        <v>北京城市学院</v>
      </c>
    </row>
    <row r="1206" s="2" customFormat="1" ht="20" customHeight="1" spans="1:8">
      <c r="A1206" s="5">
        <v>1204</v>
      </c>
      <c r="B1206" s="5" t="str">
        <f>"223220191124224642211451"</f>
        <v>223220191124224642211451</v>
      </c>
      <c r="C1206" s="5" t="s">
        <v>43</v>
      </c>
      <c r="D1206" s="5" t="s">
        <v>44</v>
      </c>
      <c r="E1206" s="5" t="str">
        <f>"王海英"</f>
        <v>王海英</v>
      </c>
      <c r="F1206" s="5" t="str">
        <f t="shared" si="353"/>
        <v>女</v>
      </c>
      <c r="G1206" s="5" t="str">
        <f>"1993-05-25"</f>
        <v>1993-05-25</v>
      </c>
      <c r="H1206" s="5" t="str">
        <f>"三亚学院"</f>
        <v>三亚学院</v>
      </c>
    </row>
    <row r="1207" s="2" customFormat="1" ht="20" customHeight="1" spans="1:8">
      <c r="A1207" s="5">
        <v>1205</v>
      </c>
      <c r="B1207" s="5" t="str">
        <f>"223220191125015037211494"</f>
        <v>223220191125015037211494</v>
      </c>
      <c r="C1207" s="5" t="s">
        <v>43</v>
      </c>
      <c r="D1207" s="5" t="s">
        <v>44</v>
      </c>
      <c r="E1207" s="5" t="str">
        <f>"黄承"</f>
        <v>黄承</v>
      </c>
      <c r="F1207" s="5" t="str">
        <f t="shared" ref="F1207:F1209" si="354">"男"</f>
        <v>男</v>
      </c>
      <c r="G1207" s="5" t="str">
        <f>"1988-09-09"</f>
        <v>1988-09-09</v>
      </c>
      <c r="H1207" s="5" t="str">
        <f>"萍乡学院"</f>
        <v>萍乡学院</v>
      </c>
    </row>
    <row r="1208" s="2" customFormat="1" ht="20" customHeight="1" spans="1:8">
      <c r="A1208" s="5">
        <v>1206</v>
      </c>
      <c r="B1208" s="5" t="str">
        <f>"223220191125020434211496"</f>
        <v>223220191125020434211496</v>
      </c>
      <c r="C1208" s="5" t="s">
        <v>43</v>
      </c>
      <c r="D1208" s="5" t="s">
        <v>44</v>
      </c>
      <c r="E1208" s="5" t="str">
        <f>"万海波"</f>
        <v>万海波</v>
      </c>
      <c r="F1208" s="5" t="str">
        <f t="shared" si="354"/>
        <v>男</v>
      </c>
      <c r="G1208" s="5" t="str">
        <f>"1992-09-08"</f>
        <v>1992-09-08</v>
      </c>
      <c r="H1208" s="5" t="str">
        <f>"玉林师范学院"</f>
        <v>玉林师范学院</v>
      </c>
    </row>
    <row r="1209" s="2" customFormat="1" ht="20" customHeight="1" spans="1:8">
      <c r="A1209" s="5">
        <v>1207</v>
      </c>
      <c r="B1209" s="5" t="str">
        <f>"223220191125075918211505"</f>
        <v>223220191125075918211505</v>
      </c>
      <c r="C1209" s="5" t="s">
        <v>43</v>
      </c>
      <c r="D1209" s="5" t="s">
        <v>44</v>
      </c>
      <c r="E1209" s="5" t="str">
        <f>"符健荣"</f>
        <v>符健荣</v>
      </c>
      <c r="F1209" s="5" t="str">
        <f t="shared" si="354"/>
        <v>男</v>
      </c>
      <c r="G1209" s="5" t="str">
        <f>"1991-10-19"</f>
        <v>1991-10-19</v>
      </c>
      <c r="H1209" s="5" t="str">
        <f>"广东省罗定职业技术学院"</f>
        <v>广东省罗定职业技术学院</v>
      </c>
    </row>
    <row r="1210" s="2" customFormat="1" ht="20" customHeight="1" spans="1:8">
      <c r="A1210" s="5">
        <v>1208</v>
      </c>
      <c r="B1210" s="5" t="str">
        <f>"223220191125085134211564"</f>
        <v>223220191125085134211564</v>
      </c>
      <c r="C1210" s="5" t="s">
        <v>43</v>
      </c>
      <c r="D1210" s="5" t="s">
        <v>44</v>
      </c>
      <c r="E1210" s="5" t="str">
        <f>"吴采芳"</f>
        <v>吴采芳</v>
      </c>
      <c r="F1210" s="5" t="str">
        <f>"女"</f>
        <v>女</v>
      </c>
      <c r="G1210" s="5" t="str">
        <f>"1989-10-07"</f>
        <v>1989-10-07</v>
      </c>
      <c r="H1210" s="5" t="str">
        <f>"西安培华学院"</f>
        <v>西安培华学院</v>
      </c>
    </row>
    <row r="1211" s="2" customFormat="1" ht="20" customHeight="1" spans="1:8">
      <c r="A1211" s="5">
        <v>1209</v>
      </c>
      <c r="B1211" s="5" t="str">
        <f>"223220191125085904211583"</f>
        <v>223220191125085904211583</v>
      </c>
      <c r="C1211" s="5" t="s">
        <v>43</v>
      </c>
      <c r="D1211" s="5" t="s">
        <v>44</v>
      </c>
      <c r="E1211" s="5" t="str">
        <f>"万增豪"</f>
        <v>万增豪</v>
      </c>
      <c r="F1211" s="5" t="str">
        <f t="shared" ref="F1211:F1214" si="355">"男"</f>
        <v>男</v>
      </c>
      <c r="G1211" s="5" t="str">
        <f>"1987-10-23"</f>
        <v>1987-10-23</v>
      </c>
      <c r="H1211" s="5" t="str">
        <f>"琼台师范高等专科学校"</f>
        <v>琼台师范高等专科学校</v>
      </c>
    </row>
    <row r="1212" s="2" customFormat="1" ht="20" customHeight="1" spans="1:8">
      <c r="A1212" s="5">
        <v>1210</v>
      </c>
      <c r="B1212" s="5" t="str">
        <f>"223220191125090554211600"</f>
        <v>223220191125090554211600</v>
      </c>
      <c r="C1212" s="5" t="s">
        <v>43</v>
      </c>
      <c r="D1212" s="5" t="s">
        <v>44</v>
      </c>
      <c r="E1212" s="5" t="str">
        <f>"李德为"</f>
        <v>李德为</v>
      </c>
      <c r="F1212" s="5" t="str">
        <f t="shared" si="355"/>
        <v>男</v>
      </c>
      <c r="G1212" s="5" t="str">
        <f>"1996-02-05"</f>
        <v>1996-02-05</v>
      </c>
      <c r="H1212" s="5" t="str">
        <f>"长春工业大学人文信息学院"</f>
        <v>长春工业大学人文信息学院</v>
      </c>
    </row>
    <row r="1213" s="2" customFormat="1" ht="20" customHeight="1" spans="1:8">
      <c r="A1213" s="5">
        <v>1211</v>
      </c>
      <c r="B1213" s="5" t="str">
        <f>"223220191125091202211614"</f>
        <v>223220191125091202211614</v>
      </c>
      <c r="C1213" s="5" t="s">
        <v>43</v>
      </c>
      <c r="D1213" s="5" t="s">
        <v>44</v>
      </c>
      <c r="E1213" s="5" t="str">
        <f>"谢文彪"</f>
        <v>谢文彪</v>
      </c>
      <c r="F1213" s="5" t="str">
        <f t="shared" si="355"/>
        <v>男</v>
      </c>
      <c r="G1213" s="5" t="str">
        <f>"1994-03-15"</f>
        <v>1994-03-15</v>
      </c>
      <c r="H1213" s="5" t="str">
        <f>"大连东软信息学院"</f>
        <v>大连东软信息学院</v>
      </c>
    </row>
    <row r="1214" s="2" customFormat="1" ht="20" customHeight="1" spans="1:8">
      <c r="A1214" s="5">
        <v>1212</v>
      </c>
      <c r="B1214" s="5" t="str">
        <f>"223220191125093349211661"</f>
        <v>223220191125093349211661</v>
      </c>
      <c r="C1214" s="5" t="s">
        <v>43</v>
      </c>
      <c r="D1214" s="5" t="s">
        <v>44</v>
      </c>
      <c r="E1214" s="5" t="str">
        <f>"范仙嘉"</f>
        <v>范仙嘉</v>
      </c>
      <c r="F1214" s="5" t="str">
        <f t="shared" si="355"/>
        <v>男</v>
      </c>
      <c r="G1214" s="5" t="str">
        <f>"1993-07-18"</f>
        <v>1993-07-18</v>
      </c>
      <c r="H1214" s="5" t="str">
        <f>"海南工商职业学院"</f>
        <v>海南工商职业学院</v>
      </c>
    </row>
    <row r="1215" s="2" customFormat="1" ht="20" customHeight="1" spans="1:8">
      <c r="A1215" s="5">
        <v>1213</v>
      </c>
      <c r="B1215" s="5" t="str">
        <f>"223220191125095024211695"</f>
        <v>223220191125095024211695</v>
      </c>
      <c r="C1215" s="5" t="s">
        <v>43</v>
      </c>
      <c r="D1215" s="5" t="s">
        <v>44</v>
      </c>
      <c r="E1215" s="5" t="str">
        <f>"吴秀清"</f>
        <v>吴秀清</v>
      </c>
      <c r="F1215" s="5" t="str">
        <f t="shared" ref="F1215:F1217" si="356">"女"</f>
        <v>女</v>
      </c>
      <c r="G1215" s="5" t="str">
        <f>"1997-01-11"</f>
        <v>1997-01-11</v>
      </c>
      <c r="H1215" s="5" t="str">
        <f>"海南医学院"</f>
        <v>海南医学院</v>
      </c>
    </row>
    <row r="1216" s="2" customFormat="1" ht="20" customHeight="1" spans="1:8">
      <c r="A1216" s="5">
        <v>1214</v>
      </c>
      <c r="B1216" s="5" t="str">
        <f>"223220191125095237211700"</f>
        <v>223220191125095237211700</v>
      </c>
      <c r="C1216" s="5" t="s">
        <v>43</v>
      </c>
      <c r="D1216" s="5" t="s">
        <v>44</v>
      </c>
      <c r="E1216" s="5" t="str">
        <f>"符克燕"</f>
        <v>符克燕</v>
      </c>
      <c r="F1216" s="5" t="str">
        <f t="shared" si="356"/>
        <v>女</v>
      </c>
      <c r="G1216" s="5" t="str">
        <f>"1990-01-21"</f>
        <v>1990-01-21</v>
      </c>
      <c r="H1216" s="5" t="str">
        <f>"琼州学院"</f>
        <v>琼州学院</v>
      </c>
    </row>
    <row r="1217" s="2" customFormat="1" ht="20" customHeight="1" spans="1:8">
      <c r="A1217" s="5">
        <v>1215</v>
      </c>
      <c r="B1217" s="5" t="str">
        <f>"223220191125095639211709"</f>
        <v>223220191125095639211709</v>
      </c>
      <c r="C1217" s="5" t="s">
        <v>43</v>
      </c>
      <c r="D1217" s="5" t="s">
        <v>44</v>
      </c>
      <c r="E1217" s="5" t="str">
        <f>"符小方"</f>
        <v>符小方</v>
      </c>
      <c r="F1217" s="5" t="str">
        <f t="shared" si="356"/>
        <v>女</v>
      </c>
      <c r="G1217" s="5" t="str">
        <f>"1991-05-04"</f>
        <v>1991-05-04</v>
      </c>
      <c r="H1217" s="5" t="str">
        <f>"海口经济学院"</f>
        <v>海口经济学院</v>
      </c>
    </row>
    <row r="1218" s="2" customFormat="1" ht="20" customHeight="1" spans="1:8">
      <c r="A1218" s="5">
        <v>1216</v>
      </c>
      <c r="B1218" s="5" t="str">
        <f>"223220191125100025211720"</f>
        <v>223220191125100025211720</v>
      </c>
      <c r="C1218" s="5" t="s">
        <v>43</v>
      </c>
      <c r="D1218" s="5" t="s">
        <v>44</v>
      </c>
      <c r="E1218" s="5" t="str">
        <f>"苻硕门"</f>
        <v>苻硕门</v>
      </c>
      <c r="F1218" s="5" t="str">
        <f t="shared" ref="F1218:F1220" si="357">"男"</f>
        <v>男</v>
      </c>
      <c r="G1218" s="5" t="str">
        <f>"1993-01-21"</f>
        <v>1993-01-21</v>
      </c>
      <c r="H1218" s="5" t="str">
        <f>"海南科技职业学院"</f>
        <v>海南科技职业学院</v>
      </c>
    </row>
    <row r="1219" s="2" customFormat="1" ht="20" customHeight="1" spans="1:8">
      <c r="A1219" s="5">
        <v>1217</v>
      </c>
      <c r="B1219" s="5" t="str">
        <f>"223220191125100236211726"</f>
        <v>223220191125100236211726</v>
      </c>
      <c r="C1219" s="5" t="s">
        <v>43</v>
      </c>
      <c r="D1219" s="5" t="s">
        <v>44</v>
      </c>
      <c r="E1219" s="5" t="str">
        <f>"陈涛峰"</f>
        <v>陈涛峰</v>
      </c>
      <c r="F1219" s="5" t="str">
        <f t="shared" si="357"/>
        <v>男</v>
      </c>
      <c r="G1219" s="5" t="str">
        <f>"1994-06-23"</f>
        <v>1994-06-23</v>
      </c>
      <c r="H1219" s="5" t="str">
        <f>"宁夏大学"</f>
        <v>宁夏大学</v>
      </c>
    </row>
    <row r="1220" s="2" customFormat="1" ht="20" customHeight="1" spans="1:8">
      <c r="A1220" s="5">
        <v>1218</v>
      </c>
      <c r="B1220" s="5" t="str">
        <f>"223220191125100257211727"</f>
        <v>223220191125100257211727</v>
      </c>
      <c r="C1220" s="5" t="s">
        <v>43</v>
      </c>
      <c r="D1220" s="5" t="s">
        <v>44</v>
      </c>
      <c r="E1220" s="5" t="str">
        <f>"何灼明"</f>
        <v>何灼明</v>
      </c>
      <c r="F1220" s="5" t="str">
        <f t="shared" si="357"/>
        <v>男</v>
      </c>
      <c r="G1220" s="5" t="str">
        <f>"1990-08-06"</f>
        <v>1990-08-06</v>
      </c>
      <c r="H1220" s="5" t="str">
        <f>"天津科技大学"</f>
        <v>天津科技大学</v>
      </c>
    </row>
    <row r="1221" s="2" customFormat="1" ht="20" customHeight="1" spans="1:8">
      <c r="A1221" s="5">
        <v>1219</v>
      </c>
      <c r="B1221" s="5" t="str">
        <f>"223220191125101156211746"</f>
        <v>223220191125101156211746</v>
      </c>
      <c r="C1221" s="5" t="s">
        <v>43</v>
      </c>
      <c r="D1221" s="5" t="s">
        <v>44</v>
      </c>
      <c r="E1221" s="5" t="str">
        <f>"林丽祺"</f>
        <v>林丽祺</v>
      </c>
      <c r="F1221" s="5" t="str">
        <f t="shared" ref="F1221:F1223" si="358">"女"</f>
        <v>女</v>
      </c>
      <c r="G1221" s="5" t="str">
        <f>"1995-02-11"</f>
        <v>1995-02-11</v>
      </c>
      <c r="H1221" s="5" t="str">
        <f>"白城师范学院"</f>
        <v>白城师范学院</v>
      </c>
    </row>
    <row r="1222" s="2" customFormat="1" ht="20" customHeight="1" spans="1:8">
      <c r="A1222" s="5">
        <v>1220</v>
      </c>
      <c r="B1222" s="5" t="str">
        <f>"223220191125102156211762"</f>
        <v>223220191125102156211762</v>
      </c>
      <c r="C1222" s="5" t="s">
        <v>43</v>
      </c>
      <c r="D1222" s="5" t="s">
        <v>44</v>
      </c>
      <c r="E1222" s="5" t="str">
        <f>"符达莲"</f>
        <v>符达莲</v>
      </c>
      <c r="F1222" s="5" t="str">
        <f t="shared" si="358"/>
        <v>女</v>
      </c>
      <c r="G1222" s="5" t="str">
        <f>"1986-09-25"</f>
        <v>1986-09-25</v>
      </c>
      <c r="H1222" s="5" t="str">
        <f>"海南省琼州学院"</f>
        <v>海南省琼州学院</v>
      </c>
    </row>
    <row r="1223" s="2" customFormat="1" ht="20" customHeight="1" spans="1:8">
      <c r="A1223" s="5">
        <v>1221</v>
      </c>
      <c r="B1223" s="5" t="str">
        <f>"223220191125103334211785"</f>
        <v>223220191125103334211785</v>
      </c>
      <c r="C1223" s="5" t="s">
        <v>43</v>
      </c>
      <c r="D1223" s="5" t="s">
        <v>44</v>
      </c>
      <c r="E1223" s="5" t="str">
        <f>"陈应宽"</f>
        <v>陈应宽</v>
      </c>
      <c r="F1223" s="5" t="str">
        <f t="shared" si="358"/>
        <v>女</v>
      </c>
      <c r="G1223" s="5" t="str">
        <f>"1993-12-06"</f>
        <v>1993-12-06</v>
      </c>
      <c r="H1223" s="5" t="str">
        <f>"海南热带海洋学院"</f>
        <v>海南热带海洋学院</v>
      </c>
    </row>
    <row r="1224" s="2" customFormat="1" ht="20" customHeight="1" spans="1:8">
      <c r="A1224" s="5">
        <v>1222</v>
      </c>
      <c r="B1224" s="5" t="str">
        <f>"223220191125103542211789"</f>
        <v>223220191125103542211789</v>
      </c>
      <c r="C1224" s="5" t="s">
        <v>43</v>
      </c>
      <c r="D1224" s="5" t="s">
        <v>44</v>
      </c>
      <c r="E1224" s="5" t="str">
        <f>"符开楚"</f>
        <v>符开楚</v>
      </c>
      <c r="F1224" s="5" t="str">
        <f t="shared" ref="F1224:F1226" si="359">"男"</f>
        <v>男</v>
      </c>
      <c r="G1224" s="5" t="str">
        <f>"1991-07-22"</f>
        <v>1991-07-22</v>
      </c>
      <c r="H1224" s="5" t="str">
        <f>"重亲电子信息工程职业学院"</f>
        <v>重亲电子信息工程职业学院</v>
      </c>
    </row>
    <row r="1225" s="2" customFormat="1" ht="20" customHeight="1" spans="1:8">
      <c r="A1225" s="5">
        <v>1223</v>
      </c>
      <c r="B1225" s="5" t="str">
        <f>"223220191125103810211796"</f>
        <v>223220191125103810211796</v>
      </c>
      <c r="C1225" s="5" t="s">
        <v>43</v>
      </c>
      <c r="D1225" s="5" t="s">
        <v>44</v>
      </c>
      <c r="E1225" s="5" t="str">
        <f>"薛星位"</f>
        <v>薛星位</v>
      </c>
      <c r="F1225" s="5" t="str">
        <f t="shared" si="359"/>
        <v>男</v>
      </c>
      <c r="G1225" s="5" t="str">
        <f>"1986-10-14"</f>
        <v>1986-10-14</v>
      </c>
      <c r="H1225" s="5" t="str">
        <f>"阳泉职业技术学院"</f>
        <v>阳泉职业技术学院</v>
      </c>
    </row>
    <row r="1226" s="2" customFormat="1" ht="20" customHeight="1" spans="1:8">
      <c r="A1226" s="5">
        <v>1224</v>
      </c>
      <c r="B1226" s="5" t="str">
        <f>"223220191125104747211809"</f>
        <v>223220191125104747211809</v>
      </c>
      <c r="C1226" s="5" t="s">
        <v>43</v>
      </c>
      <c r="D1226" s="5" t="s">
        <v>44</v>
      </c>
      <c r="E1226" s="5" t="str">
        <f>"郑万富"</f>
        <v>郑万富</v>
      </c>
      <c r="F1226" s="5" t="str">
        <f t="shared" si="359"/>
        <v>男</v>
      </c>
      <c r="G1226" s="5" t="str">
        <f>"1994-04-16"</f>
        <v>1994-04-16</v>
      </c>
      <c r="H1226" s="5" t="str">
        <f>"淮南联合大学"</f>
        <v>淮南联合大学</v>
      </c>
    </row>
    <row r="1227" s="2" customFormat="1" ht="20" customHeight="1" spans="1:8">
      <c r="A1227" s="5">
        <v>1225</v>
      </c>
      <c r="B1227" s="5" t="str">
        <f>"223220191125104816211811"</f>
        <v>223220191125104816211811</v>
      </c>
      <c r="C1227" s="5" t="s">
        <v>43</v>
      </c>
      <c r="D1227" s="5" t="s">
        <v>44</v>
      </c>
      <c r="E1227" s="5" t="str">
        <f>"汤新元"</f>
        <v>汤新元</v>
      </c>
      <c r="F1227" s="5" t="str">
        <f t="shared" ref="F1227:F1231" si="360">"女"</f>
        <v>女</v>
      </c>
      <c r="G1227" s="5" t="str">
        <f>"1994-01-01"</f>
        <v>1994-01-01</v>
      </c>
      <c r="H1227" s="5" t="str">
        <f>"海南经贸职业技术学院"</f>
        <v>海南经贸职业技术学院</v>
      </c>
    </row>
    <row r="1228" s="2" customFormat="1" ht="20" customHeight="1" spans="1:8">
      <c r="A1228" s="5">
        <v>1226</v>
      </c>
      <c r="B1228" s="5" t="str">
        <f>"223220191125104822211812"</f>
        <v>223220191125104822211812</v>
      </c>
      <c r="C1228" s="5" t="s">
        <v>43</v>
      </c>
      <c r="D1228" s="5" t="s">
        <v>44</v>
      </c>
      <c r="E1228" s="5" t="str">
        <f>"李德用"</f>
        <v>李德用</v>
      </c>
      <c r="F1228" s="5" t="str">
        <f t="shared" ref="F1228:F1233" si="361">"男"</f>
        <v>男</v>
      </c>
      <c r="G1228" s="5" t="str">
        <f>"1990-01-10"</f>
        <v>1990-01-10</v>
      </c>
      <c r="H1228" s="5" t="str">
        <f>"广西工程职业学院"</f>
        <v>广西工程职业学院</v>
      </c>
    </row>
    <row r="1229" s="2" customFormat="1" ht="20" customHeight="1" spans="1:8">
      <c r="A1229" s="5">
        <v>1227</v>
      </c>
      <c r="B1229" s="5" t="str">
        <f>"223220191125105353211820"</f>
        <v>223220191125105353211820</v>
      </c>
      <c r="C1229" s="5" t="s">
        <v>43</v>
      </c>
      <c r="D1229" s="5" t="s">
        <v>44</v>
      </c>
      <c r="E1229" s="5" t="str">
        <f>"郑以来"</f>
        <v>郑以来</v>
      </c>
      <c r="F1229" s="5" t="str">
        <f t="shared" si="361"/>
        <v>男</v>
      </c>
      <c r="G1229" s="5" t="str">
        <f>"1994-12-15"</f>
        <v>1994-12-15</v>
      </c>
      <c r="H1229" s="5" t="str">
        <f>"吉林建筑大学"</f>
        <v>吉林建筑大学</v>
      </c>
    </row>
    <row r="1230" s="2" customFormat="1" ht="20" customHeight="1" spans="1:8">
      <c r="A1230" s="5">
        <v>1228</v>
      </c>
      <c r="B1230" s="5" t="str">
        <f>"223220191125105540211825"</f>
        <v>223220191125105540211825</v>
      </c>
      <c r="C1230" s="5" t="s">
        <v>43</v>
      </c>
      <c r="D1230" s="5" t="s">
        <v>44</v>
      </c>
      <c r="E1230" s="5" t="str">
        <f>"赵莹"</f>
        <v>赵莹</v>
      </c>
      <c r="F1230" s="5" t="str">
        <f>"女"</f>
        <v>女</v>
      </c>
      <c r="G1230" s="5" t="str">
        <f>"1988-09-15"</f>
        <v>1988-09-15</v>
      </c>
      <c r="H1230" s="5" t="str">
        <f>"黑龙江生物科技职业技术学院"</f>
        <v>黑龙江生物科技职业技术学院</v>
      </c>
    </row>
    <row r="1231" s="2" customFormat="1" ht="20" customHeight="1" spans="1:8">
      <c r="A1231" s="5">
        <v>1229</v>
      </c>
      <c r="B1231" s="5" t="str">
        <f>"223220191125110003211834"</f>
        <v>223220191125110003211834</v>
      </c>
      <c r="C1231" s="5" t="s">
        <v>43</v>
      </c>
      <c r="D1231" s="5" t="s">
        <v>44</v>
      </c>
      <c r="E1231" s="5" t="str">
        <f>"周梦晖"</f>
        <v>周梦晖</v>
      </c>
      <c r="F1231" s="5" t="str">
        <f>"女"</f>
        <v>女</v>
      </c>
      <c r="G1231" s="5" t="str">
        <f>"1992-11-01"</f>
        <v>1992-11-01</v>
      </c>
      <c r="H1231" s="5" t="str">
        <f>"兰州理工大学"</f>
        <v>兰州理工大学</v>
      </c>
    </row>
    <row r="1232" s="2" customFormat="1" ht="20" customHeight="1" spans="1:8">
      <c r="A1232" s="5">
        <v>1230</v>
      </c>
      <c r="B1232" s="5" t="str">
        <f>"223220191125110653211850"</f>
        <v>223220191125110653211850</v>
      </c>
      <c r="C1232" s="5" t="s">
        <v>43</v>
      </c>
      <c r="D1232" s="5" t="s">
        <v>44</v>
      </c>
      <c r="E1232" s="5" t="str">
        <f>"黎维荣"</f>
        <v>黎维荣</v>
      </c>
      <c r="F1232" s="5" t="str">
        <f t="shared" ref="F1232:F1235" si="362">"男"</f>
        <v>男</v>
      </c>
      <c r="G1232" s="5" t="str">
        <f>"1990-04-06"</f>
        <v>1990-04-06</v>
      </c>
      <c r="H1232" s="5" t="str">
        <f>"江西科技学院"</f>
        <v>江西科技学院</v>
      </c>
    </row>
    <row r="1233" s="2" customFormat="1" ht="20" customHeight="1" spans="1:8">
      <c r="A1233" s="5">
        <v>1231</v>
      </c>
      <c r="B1233" s="5" t="str">
        <f>"223220191125111051211861"</f>
        <v>223220191125111051211861</v>
      </c>
      <c r="C1233" s="5" t="s">
        <v>43</v>
      </c>
      <c r="D1233" s="5" t="s">
        <v>44</v>
      </c>
      <c r="E1233" s="5" t="str">
        <f>"麦富杰"</f>
        <v>麦富杰</v>
      </c>
      <c r="F1233" s="5" t="str">
        <f t="shared" si="362"/>
        <v>男</v>
      </c>
      <c r="G1233" s="5" t="str">
        <f>"1993-10-25"</f>
        <v>1993-10-25</v>
      </c>
      <c r="H1233" s="5" t="str">
        <f>"北京航空航天大学（深圳职业技术学院）"</f>
        <v>北京航空航天大学（深圳职业技术学院）</v>
      </c>
    </row>
    <row r="1234" s="2" customFormat="1" ht="20" customHeight="1" spans="1:8">
      <c r="A1234" s="5">
        <v>1232</v>
      </c>
      <c r="B1234" s="5" t="str">
        <f>"223220191125112059211879"</f>
        <v>223220191125112059211879</v>
      </c>
      <c r="C1234" s="5" t="s">
        <v>43</v>
      </c>
      <c r="D1234" s="5" t="s">
        <v>44</v>
      </c>
      <c r="E1234" s="5" t="str">
        <f>"黎石荣"</f>
        <v>黎石荣</v>
      </c>
      <c r="F1234" s="5" t="str">
        <f t="shared" ref="F1234:F1242" si="363">"女"</f>
        <v>女</v>
      </c>
      <c r="G1234" s="5" t="str">
        <f>"1992-06-12"</f>
        <v>1992-06-12</v>
      </c>
      <c r="H1234" s="5" t="str">
        <f>"聊城大学"</f>
        <v>聊城大学</v>
      </c>
    </row>
    <row r="1235" s="2" customFormat="1" ht="20" customHeight="1" spans="1:8">
      <c r="A1235" s="5">
        <v>1233</v>
      </c>
      <c r="B1235" s="5" t="str">
        <f>"223220191125112121211880"</f>
        <v>223220191125112121211880</v>
      </c>
      <c r="C1235" s="5" t="s">
        <v>43</v>
      </c>
      <c r="D1235" s="5" t="s">
        <v>44</v>
      </c>
      <c r="E1235" s="5" t="str">
        <f>"李常"</f>
        <v>李常</v>
      </c>
      <c r="F1235" s="5" t="str">
        <f>"男"</f>
        <v>男</v>
      </c>
      <c r="G1235" s="5" t="str">
        <f>"1992-12-22"</f>
        <v>1992-12-22</v>
      </c>
      <c r="H1235" s="5" t="str">
        <f>"三亚学院"</f>
        <v>三亚学院</v>
      </c>
    </row>
    <row r="1236" s="2" customFormat="1" ht="20" customHeight="1" spans="1:8">
      <c r="A1236" s="5">
        <v>1234</v>
      </c>
      <c r="B1236" s="5" t="str">
        <f>"223220191125113002211899"</f>
        <v>223220191125113002211899</v>
      </c>
      <c r="C1236" s="5" t="s">
        <v>43</v>
      </c>
      <c r="D1236" s="5" t="s">
        <v>44</v>
      </c>
      <c r="E1236" s="5" t="str">
        <f>"陈艺佳"</f>
        <v>陈艺佳</v>
      </c>
      <c r="F1236" s="5" t="str">
        <f t="shared" ref="F1236:F1242" si="364">"女"</f>
        <v>女</v>
      </c>
      <c r="G1236" s="5" t="str">
        <f>"1995-10-30"</f>
        <v>1995-10-30</v>
      </c>
      <c r="H1236" s="5" t="str">
        <f>"海口经济学院"</f>
        <v>海口经济学院</v>
      </c>
    </row>
    <row r="1237" s="2" customFormat="1" ht="20" customHeight="1" spans="1:8">
      <c r="A1237" s="5">
        <v>1235</v>
      </c>
      <c r="B1237" s="5" t="str">
        <f>"223220191125113717211911"</f>
        <v>223220191125113717211911</v>
      </c>
      <c r="C1237" s="5" t="s">
        <v>43</v>
      </c>
      <c r="D1237" s="5" t="s">
        <v>44</v>
      </c>
      <c r="E1237" s="5" t="str">
        <f>"郑祖家"</f>
        <v>郑祖家</v>
      </c>
      <c r="F1237" s="5" t="str">
        <f>"男"</f>
        <v>男</v>
      </c>
      <c r="G1237" s="5" t="str">
        <f>"1991-12-04"</f>
        <v>1991-12-04</v>
      </c>
      <c r="H1237" s="5" t="str">
        <f>"长春工业大学人文信息学院"</f>
        <v>长春工业大学人文信息学院</v>
      </c>
    </row>
    <row r="1238" s="2" customFormat="1" ht="20" customHeight="1" spans="1:8">
      <c r="A1238" s="5">
        <v>1236</v>
      </c>
      <c r="B1238" s="5" t="str">
        <f>"223220191125114038211919"</f>
        <v>223220191125114038211919</v>
      </c>
      <c r="C1238" s="5" t="s">
        <v>43</v>
      </c>
      <c r="D1238" s="5" t="s">
        <v>44</v>
      </c>
      <c r="E1238" s="5" t="str">
        <f>"羊小香"</f>
        <v>羊小香</v>
      </c>
      <c r="F1238" s="5" t="str">
        <f>"女"</f>
        <v>女</v>
      </c>
      <c r="G1238" s="5" t="str">
        <f>"1996-07-19"</f>
        <v>1996-07-19</v>
      </c>
      <c r="H1238" s="5" t="str">
        <f>"内蒙古民族大学"</f>
        <v>内蒙古民族大学</v>
      </c>
    </row>
    <row r="1239" s="2" customFormat="1" ht="20" customHeight="1" spans="1:8">
      <c r="A1239" s="5">
        <v>1237</v>
      </c>
      <c r="B1239" s="5" t="str">
        <f>"223220191125115029211941"</f>
        <v>223220191125115029211941</v>
      </c>
      <c r="C1239" s="5" t="s">
        <v>43</v>
      </c>
      <c r="D1239" s="5" t="s">
        <v>44</v>
      </c>
      <c r="E1239" s="5" t="str">
        <f>"郑云娥"</f>
        <v>郑云娥</v>
      </c>
      <c r="F1239" s="5" t="str">
        <f>"女"</f>
        <v>女</v>
      </c>
      <c r="G1239" s="5" t="str">
        <f>"1990-05-23"</f>
        <v>1990-05-23</v>
      </c>
      <c r="H1239" s="5" t="str">
        <f>"海南政法职业学院"</f>
        <v>海南政法职业学院</v>
      </c>
    </row>
    <row r="1240" s="2" customFormat="1" ht="20" customHeight="1" spans="1:8">
      <c r="A1240" s="5">
        <v>1238</v>
      </c>
      <c r="B1240" s="5" t="str">
        <f>"223220191125115221211953"</f>
        <v>223220191125115221211953</v>
      </c>
      <c r="C1240" s="5" t="s">
        <v>43</v>
      </c>
      <c r="D1240" s="5" t="s">
        <v>44</v>
      </c>
      <c r="E1240" s="5" t="str">
        <f>"邓美花"</f>
        <v>邓美花</v>
      </c>
      <c r="F1240" s="5" t="str">
        <f>"女"</f>
        <v>女</v>
      </c>
      <c r="G1240" s="5" t="str">
        <f>"1990-12-20"</f>
        <v>1990-12-20</v>
      </c>
      <c r="H1240" s="5" t="str">
        <f>"安徽工商职业学院"</f>
        <v>安徽工商职业学院</v>
      </c>
    </row>
    <row r="1241" s="2" customFormat="1" ht="20" customHeight="1" spans="1:8">
      <c r="A1241" s="5">
        <v>1239</v>
      </c>
      <c r="B1241" s="5" t="str">
        <f>"223220191125115814211965"</f>
        <v>223220191125115814211965</v>
      </c>
      <c r="C1241" s="5" t="s">
        <v>43</v>
      </c>
      <c r="D1241" s="5" t="s">
        <v>44</v>
      </c>
      <c r="E1241" s="5" t="str">
        <f>"羊井桃"</f>
        <v>羊井桃</v>
      </c>
      <c r="F1241" s="5" t="str">
        <f>"女"</f>
        <v>女</v>
      </c>
      <c r="G1241" s="5" t="str">
        <f>"1994-01-27"</f>
        <v>1994-01-27</v>
      </c>
      <c r="H1241" s="5" t="str">
        <f>"邯郸学院"</f>
        <v>邯郸学院</v>
      </c>
    </row>
    <row r="1242" s="2" customFormat="1" ht="20" customHeight="1" spans="1:8">
      <c r="A1242" s="5">
        <v>1240</v>
      </c>
      <c r="B1242" s="5" t="str">
        <f>"223220191125125420212017"</f>
        <v>223220191125125420212017</v>
      </c>
      <c r="C1242" s="5" t="s">
        <v>43</v>
      </c>
      <c r="D1242" s="5" t="s">
        <v>44</v>
      </c>
      <c r="E1242" s="5" t="str">
        <f>"何振柳"</f>
        <v>何振柳</v>
      </c>
      <c r="F1242" s="5" t="str">
        <f>"女"</f>
        <v>女</v>
      </c>
      <c r="G1242" s="5" t="str">
        <f>"1996-08-07"</f>
        <v>1996-08-07</v>
      </c>
      <c r="H1242" s="5" t="str">
        <f>"赣南师范大学"</f>
        <v>赣南师范大学</v>
      </c>
    </row>
    <row r="1243" s="2" customFormat="1" ht="20" customHeight="1" spans="1:8">
      <c r="A1243" s="5">
        <v>1241</v>
      </c>
      <c r="B1243" s="5" t="str">
        <f>"223220191125131653212040"</f>
        <v>223220191125131653212040</v>
      </c>
      <c r="C1243" s="5" t="s">
        <v>43</v>
      </c>
      <c r="D1243" s="5" t="s">
        <v>44</v>
      </c>
      <c r="E1243" s="5" t="str">
        <f>"羊磊"</f>
        <v>羊磊</v>
      </c>
      <c r="F1243" s="5" t="str">
        <f t="shared" ref="F1243:F1250" si="365">"男"</f>
        <v>男</v>
      </c>
      <c r="G1243" s="5" t="str">
        <f>"1986-07-04"</f>
        <v>1986-07-04</v>
      </c>
      <c r="H1243" s="5" t="str">
        <f>"海南经贸职业技术学院"</f>
        <v>海南经贸职业技术学院</v>
      </c>
    </row>
    <row r="1244" s="2" customFormat="1" ht="20" customHeight="1" spans="1:8">
      <c r="A1244" s="5">
        <v>1242</v>
      </c>
      <c r="B1244" s="5" t="str">
        <f>"223220191125135115212072"</f>
        <v>223220191125135115212072</v>
      </c>
      <c r="C1244" s="5" t="s">
        <v>43</v>
      </c>
      <c r="D1244" s="5" t="s">
        <v>44</v>
      </c>
      <c r="E1244" s="5" t="str">
        <f>"苏文海"</f>
        <v>苏文海</v>
      </c>
      <c r="F1244" s="5" t="str">
        <f t="shared" si="365"/>
        <v>男</v>
      </c>
      <c r="G1244" s="5" t="str">
        <f>"1994-09-23"</f>
        <v>1994-09-23</v>
      </c>
      <c r="H1244" s="5" t="str">
        <f>"红河学院"</f>
        <v>红河学院</v>
      </c>
    </row>
    <row r="1245" s="2" customFormat="1" ht="20" customHeight="1" spans="1:8">
      <c r="A1245" s="5">
        <v>1243</v>
      </c>
      <c r="B1245" s="5" t="str">
        <f>"223220191125141352212086"</f>
        <v>223220191125141352212086</v>
      </c>
      <c r="C1245" s="5" t="s">
        <v>43</v>
      </c>
      <c r="D1245" s="5" t="s">
        <v>44</v>
      </c>
      <c r="E1245" s="5" t="str">
        <f>"李新瑶"</f>
        <v>李新瑶</v>
      </c>
      <c r="F1245" s="5" t="str">
        <f t="shared" si="365"/>
        <v>男</v>
      </c>
      <c r="G1245" s="5" t="str">
        <f>"1989-12-08"</f>
        <v>1989-12-08</v>
      </c>
      <c r="H1245" s="5" t="str">
        <f>"北华大学"</f>
        <v>北华大学</v>
      </c>
    </row>
    <row r="1246" s="2" customFormat="1" ht="20" customHeight="1" spans="1:8">
      <c r="A1246" s="5">
        <v>1244</v>
      </c>
      <c r="B1246" s="5" t="str">
        <f>"223220191125141628212089"</f>
        <v>223220191125141628212089</v>
      </c>
      <c r="C1246" s="5" t="s">
        <v>43</v>
      </c>
      <c r="D1246" s="5" t="s">
        <v>44</v>
      </c>
      <c r="E1246" s="5" t="str">
        <f>"吴元宁"</f>
        <v>吴元宁</v>
      </c>
      <c r="F1246" s="5" t="str">
        <f t="shared" si="365"/>
        <v>男</v>
      </c>
      <c r="G1246" s="5" t="str">
        <f>"1993-11-11"</f>
        <v>1993-11-11</v>
      </c>
      <c r="H1246" s="5" t="str">
        <f>"武汉科技大学"</f>
        <v>武汉科技大学</v>
      </c>
    </row>
    <row r="1247" s="2" customFormat="1" ht="20" customHeight="1" spans="1:8">
      <c r="A1247" s="5">
        <v>1245</v>
      </c>
      <c r="B1247" s="5" t="str">
        <f>"223220191125143313212104"</f>
        <v>223220191125143313212104</v>
      </c>
      <c r="C1247" s="5" t="s">
        <v>43</v>
      </c>
      <c r="D1247" s="5" t="s">
        <v>44</v>
      </c>
      <c r="E1247" s="5" t="str">
        <f>"李永发"</f>
        <v>李永发</v>
      </c>
      <c r="F1247" s="5" t="str">
        <f t="shared" si="365"/>
        <v>男</v>
      </c>
      <c r="G1247" s="5" t="str">
        <f>"1995-11-10"</f>
        <v>1995-11-10</v>
      </c>
      <c r="H1247" s="5" t="str">
        <f>"集美大学"</f>
        <v>集美大学</v>
      </c>
    </row>
    <row r="1248" s="2" customFormat="1" ht="20" customHeight="1" spans="1:8">
      <c r="A1248" s="5">
        <v>1246</v>
      </c>
      <c r="B1248" s="5" t="str">
        <f>"223220191125144047212109"</f>
        <v>223220191125144047212109</v>
      </c>
      <c r="C1248" s="5" t="s">
        <v>43</v>
      </c>
      <c r="D1248" s="5" t="s">
        <v>44</v>
      </c>
      <c r="E1248" s="5" t="str">
        <f>"李必琳"</f>
        <v>李必琳</v>
      </c>
      <c r="F1248" s="5" t="str">
        <f t="shared" si="365"/>
        <v>男</v>
      </c>
      <c r="G1248" s="5" t="str">
        <f>"1991-07-19"</f>
        <v>1991-07-19</v>
      </c>
      <c r="H1248" s="5" t="str">
        <f>"海南职业技术学院"</f>
        <v>海南职业技术学院</v>
      </c>
    </row>
    <row r="1249" s="2" customFormat="1" ht="20" customHeight="1" spans="1:8">
      <c r="A1249" s="5">
        <v>1247</v>
      </c>
      <c r="B1249" s="5" t="str">
        <f>"223220191125144241212114"</f>
        <v>223220191125144241212114</v>
      </c>
      <c r="C1249" s="5" t="s">
        <v>43</v>
      </c>
      <c r="D1249" s="5" t="s">
        <v>44</v>
      </c>
      <c r="E1249" s="5" t="str">
        <f>"曾文德"</f>
        <v>曾文德</v>
      </c>
      <c r="F1249" s="5" t="str">
        <f t="shared" si="365"/>
        <v>男</v>
      </c>
      <c r="G1249" s="5" t="str">
        <f>"1994-12-30"</f>
        <v>1994-12-30</v>
      </c>
      <c r="H1249" s="5" t="str">
        <f>"海南大学"</f>
        <v>海南大学</v>
      </c>
    </row>
    <row r="1250" s="2" customFormat="1" ht="20" customHeight="1" spans="1:8">
      <c r="A1250" s="5">
        <v>1248</v>
      </c>
      <c r="B1250" s="5" t="str">
        <f>"223220191125145414212138"</f>
        <v>223220191125145414212138</v>
      </c>
      <c r="C1250" s="5" t="s">
        <v>43</v>
      </c>
      <c r="D1250" s="5" t="s">
        <v>44</v>
      </c>
      <c r="E1250" s="5" t="str">
        <f>"王涛"</f>
        <v>王涛</v>
      </c>
      <c r="F1250" s="5" t="str">
        <f t="shared" si="365"/>
        <v>男</v>
      </c>
      <c r="G1250" s="5" t="str">
        <f>"1990-02-17"</f>
        <v>1990-02-17</v>
      </c>
      <c r="H1250" s="5" t="str">
        <f>"湖南科技学院"</f>
        <v>湖南科技学院</v>
      </c>
    </row>
    <row r="1251" s="2" customFormat="1" ht="20" customHeight="1" spans="1:8">
      <c r="A1251" s="5">
        <v>1249</v>
      </c>
      <c r="B1251" s="5" t="str">
        <f>"223220191125145755212142"</f>
        <v>223220191125145755212142</v>
      </c>
      <c r="C1251" s="5" t="s">
        <v>43</v>
      </c>
      <c r="D1251" s="5" t="s">
        <v>44</v>
      </c>
      <c r="E1251" s="5" t="str">
        <f>"何玉莲"</f>
        <v>何玉莲</v>
      </c>
      <c r="F1251" s="5" t="str">
        <f t="shared" ref="F1251:F1254" si="366">"女"</f>
        <v>女</v>
      </c>
      <c r="G1251" s="5" t="str">
        <f>"1993-08-05"</f>
        <v>1993-08-05</v>
      </c>
      <c r="H1251" s="5" t="str">
        <f>"海南大学"</f>
        <v>海南大学</v>
      </c>
    </row>
    <row r="1252" s="2" customFormat="1" ht="20" customHeight="1" spans="1:8">
      <c r="A1252" s="5">
        <v>1250</v>
      </c>
      <c r="B1252" s="5" t="str">
        <f>"223220191125145800212143"</f>
        <v>223220191125145800212143</v>
      </c>
      <c r="C1252" s="5" t="s">
        <v>43</v>
      </c>
      <c r="D1252" s="5" t="s">
        <v>44</v>
      </c>
      <c r="E1252" s="5" t="str">
        <f>"林婷"</f>
        <v>林婷</v>
      </c>
      <c r="F1252" s="5" t="str">
        <f t="shared" si="366"/>
        <v>女</v>
      </c>
      <c r="G1252" s="5" t="str">
        <f>"1993-10-18"</f>
        <v>1993-10-18</v>
      </c>
      <c r="H1252" s="5" t="str">
        <f>"海南外国语职业学院"</f>
        <v>海南外国语职业学院</v>
      </c>
    </row>
    <row r="1253" s="2" customFormat="1" ht="20" customHeight="1" spans="1:8">
      <c r="A1253" s="5">
        <v>1251</v>
      </c>
      <c r="B1253" s="5" t="str">
        <f>"223220191125145928212149"</f>
        <v>223220191125145928212149</v>
      </c>
      <c r="C1253" s="5" t="s">
        <v>43</v>
      </c>
      <c r="D1253" s="5" t="s">
        <v>44</v>
      </c>
      <c r="E1253" s="5" t="str">
        <f>"许嘉明"</f>
        <v>许嘉明</v>
      </c>
      <c r="F1253" s="5" t="str">
        <f t="shared" ref="F1253:F1256" si="367">"男"</f>
        <v>男</v>
      </c>
      <c r="G1253" s="5" t="str">
        <f>"1993-03-24"</f>
        <v>1993-03-24</v>
      </c>
      <c r="H1253" s="5" t="str">
        <f>"海南软件职业技术学院"</f>
        <v>海南软件职业技术学院</v>
      </c>
    </row>
    <row r="1254" s="2" customFormat="1" ht="20" customHeight="1" spans="1:8">
      <c r="A1254" s="5">
        <v>1252</v>
      </c>
      <c r="B1254" s="5" t="str">
        <f>"223220191125150644212164"</f>
        <v>223220191125150644212164</v>
      </c>
      <c r="C1254" s="5" t="s">
        <v>43</v>
      </c>
      <c r="D1254" s="5" t="s">
        <v>44</v>
      </c>
      <c r="E1254" s="5" t="str">
        <f>"陈青花"</f>
        <v>陈青花</v>
      </c>
      <c r="F1254" s="5" t="str">
        <f>"女"</f>
        <v>女</v>
      </c>
      <c r="G1254" s="5" t="str">
        <f>"1993-05-27"</f>
        <v>1993-05-27</v>
      </c>
      <c r="H1254" s="5" t="str">
        <f>"北方民族大学"</f>
        <v>北方民族大学</v>
      </c>
    </row>
    <row r="1255" s="2" customFormat="1" ht="20" customHeight="1" spans="1:8">
      <c r="A1255" s="5">
        <v>1253</v>
      </c>
      <c r="B1255" s="5" t="str">
        <f>"223220191125151303212179"</f>
        <v>223220191125151303212179</v>
      </c>
      <c r="C1255" s="5" t="s">
        <v>43</v>
      </c>
      <c r="D1255" s="5" t="s">
        <v>44</v>
      </c>
      <c r="E1255" s="5" t="str">
        <f>"符玉琼"</f>
        <v>符玉琼</v>
      </c>
      <c r="F1255" s="5" t="str">
        <f>"男"</f>
        <v>男</v>
      </c>
      <c r="G1255" s="5" t="str">
        <f>"1988-12-08"</f>
        <v>1988-12-08</v>
      </c>
      <c r="H1255" s="5" t="str">
        <f>"中国矿业大学"</f>
        <v>中国矿业大学</v>
      </c>
    </row>
    <row r="1256" s="2" customFormat="1" ht="20" customHeight="1" spans="1:8">
      <c r="A1256" s="5">
        <v>1254</v>
      </c>
      <c r="B1256" s="5" t="str">
        <f>"223220191125151318212180"</f>
        <v>223220191125151318212180</v>
      </c>
      <c r="C1256" s="5" t="s">
        <v>43</v>
      </c>
      <c r="D1256" s="5" t="s">
        <v>44</v>
      </c>
      <c r="E1256" s="5" t="str">
        <f>"陈笔剑"</f>
        <v>陈笔剑</v>
      </c>
      <c r="F1256" s="5" t="str">
        <f>"男"</f>
        <v>男</v>
      </c>
      <c r="G1256" s="5" t="str">
        <f>"1992-04-06"</f>
        <v>1992-04-06</v>
      </c>
      <c r="H1256" s="5" t="str">
        <f>"海南热带海洋学院"</f>
        <v>海南热带海洋学院</v>
      </c>
    </row>
    <row r="1257" s="2" customFormat="1" ht="20" customHeight="1" spans="1:8">
      <c r="A1257" s="5">
        <v>1255</v>
      </c>
      <c r="B1257" s="5" t="str">
        <f>"223220191125152236212201"</f>
        <v>223220191125152236212201</v>
      </c>
      <c r="C1257" s="5" t="s">
        <v>43</v>
      </c>
      <c r="D1257" s="5" t="s">
        <v>44</v>
      </c>
      <c r="E1257" s="5" t="str">
        <f>"陈春霞"</f>
        <v>陈春霞</v>
      </c>
      <c r="F1257" s="5" t="str">
        <f t="shared" ref="F1257:F1265" si="368">"女"</f>
        <v>女</v>
      </c>
      <c r="G1257" s="5" t="str">
        <f>"1988-05-14"</f>
        <v>1988-05-14</v>
      </c>
      <c r="H1257" s="5" t="str">
        <f>"海南师范大学"</f>
        <v>海南师范大学</v>
      </c>
    </row>
    <row r="1258" s="2" customFormat="1" ht="20" customHeight="1" spans="1:8">
      <c r="A1258" s="5">
        <v>1256</v>
      </c>
      <c r="B1258" s="5" t="str">
        <f>"223220191125152312212203"</f>
        <v>223220191125152312212203</v>
      </c>
      <c r="C1258" s="5" t="s">
        <v>43</v>
      </c>
      <c r="D1258" s="5" t="s">
        <v>44</v>
      </c>
      <c r="E1258" s="5" t="str">
        <f>"符彩凤"</f>
        <v>符彩凤</v>
      </c>
      <c r="F1258" s="5" t="str">
        <f t="shared" si="368"/>
        <v>女</v>
      </c>
      <c r="G1258" s="5" t="str">
        <f>"1994-04-20"</f>
        <v>1994-04-20</v>
      </c>
      <c r="H1258" s="5" t="str">
        <f>"海南省三亚市三亚学院"</f>
        <v>海南省三亚市三亚学院</v>
      </c>
    </row>
    <row r="1259" s="2" customFormat="1" ht="20" customHeight="1" spans="1:8">
      <c r="A1259" s="5">
        <v>1257</v>
      </c>
      <c r="B1259" s="5" t="str">
        <f>"223220191125153047212214"</f>
        <v>223220191125153047212214</v>
      </c>
      <c r="C1259" s="5" t="s">
        <v>43</v>
      </c>
      <c r="D1259" s="5" t="s">
        <v>44</v>
      </c>
      <c r="E1259" s="5" t="str">
        <f>"陈晓梦"</f>
        <v>陈晓梦</v>
      </c>
      <c r="F1259" s="5" t="str">
        <f t="shared" si="368"/>
        <v>女</v>
      </c>
      <c r="G1259" s="5" t="str">
        <f>"1995-05-12"</f>
        <v>1995-05-12</v>
      </c>
      <c r="H1259" s="5" t="str">
        <f>"辽宁财贸学院"</f>
        <v>辽宁财贸学院</v>
      </c>
    </row>
    <row r="1260" s="2" customFormat="1" ht="20" customHeight="1" spans="1:8">
      <c r="A1260" s="5">
        <v>1258</v>
      </c>
      <c r="B1260" s="5" t="str">
        <f>"223220191125154004212242"</f>
        <v>223220191125154004212242</v>
      </c>
      <c r="C1260" s="5" t="s">
        <v>43</v>
      </c>
      <c r="D1260" s="5" t="s">
        <v>44</v>
      </c>
      <c r="E1260" s="5" t="str">
        <f>"茅传芳"</f>
        <v>茅传芳</v>
      </c>
      <c r="F1260" s="5" t="str">
        <f t="shared" si="368"/>
        <v>女</v>
      </c>
      <c r="G1260" s="5" t="str">
        <f>"1988-01-17"</f>
        <v>1988-01-17</v>
      </c>
      <c r="H1260" s="5" t="str">
        <f>"广西东方外语职业学院"</f>
        <v>广西东方外语职业学院</v>
      </c>
    </row>
    <row r="1261" s="2" customFormat="1" ht="20" customHeight="1" spans="1:8">
      <c r="A1261" s="5">
        <v>1259</v>
      </c>
      <c r="B1261" s="5" t="str">
        <f>"223220191125154328212247"</f>
        <v>223220191125154328212247</v>
      </c>
      <c r="C1261" s="5" t="s">
        <v>43</v>
      </c>
      <c r="D1261" s="5" t="s">
        <v>44</v>
      </c>
      <c r="E1261" s="5" t="str">
        <f>"郑玉梅"</f>
        <v>郑玉梅</v>
      </c>
      <c r="F1261" s="5" t="str">
        <f t="shared" si="368"/>
        <v>女</v>
      </c>
      <c r="G1261" s="5" t="str">
        <f>"1993-10-03"</f>
        <v>1993-10-03</v>
      </c>
      <c r="H1261" s="5" t="str">
        <f>"海南热带海洋学院"</f>
        <v>海南热带海洋学院</v>
      </c>
    </row>
    <row r="1262" s="2" customFormat="1" ht="20" customHeight="1" spans="1:8">
      <c r="A1262" s="5">
        <v>1260</v>
      </c>
      <c r="B1262" s="5" t="str">
        <f>"223220191125155953212276"</f>
        <v>223220191125155953212276</v>
      </c>
      <c r="C1262" s="5" t="s">
        <v>43</v>
      </c>
      <c r="D1262" s="5" t="s">
        <v>44</v>
      </c>
      <c r="E1262" s="5" t="str">
        <f>"蔡金妹"</f>
        <v>蔡金妹</v>
      </c>
      <c r="F1262" s="5" t="str">
        <f t="shared" si="368"/>
        <v>女</v>
      </c>
      <c r="G1262" s="5" t="str">
        <f>"1989-08-25"</f>
        <v>1989-08-25</v>
      </c>
      <c r="H1262" s="5" t="str">
        <f>"重庆科技学院"</f>
        <v>重庆科技学院</v>
      </c>
    </row>
    <row r="1263" s="2" customFormat="1" ht="20" customHeight="1" spans="1:8">
      <c r="A1263" s="5">
        <v>1261</v>
      </c>
      <c r="B1263" s="5" t="str">
        <f>"223220191125160518212282"</f>
        <v>223220191125160518212282</v>
      </c>
      <c r="C1263" s="5" t="s">
        <v>43</v>
      </c>
      <c r="D1263" s="5" t="s">
        <v>44</v>
      </c>
      <c r="E1263" s="5" t="str">
        <f>"许水珍"</f>
        <v>许水珍</v>
      </c>
      <c r="F1263" s="5" t="str">
        <f t="shared" si="368"/>
        <v>女</v>
      </c>
      <c r="G1263" s="5" t="str">
        <f>"1989-07-22"</f>
        <v>1989-07-22</v>
      </c>
      <c r="H1263" s="5" t="str">
        <f>"海南职业技术学院"</f>
        <v>海南职业技术学院</v>
      </c>
    </row>
    <row r="1264" s="2" customFormat="1" ht="20" customHeight="1" spans="1:8">
      <c r="A1264" s="5">
        <v>1262</v>
      </c>
      <c r="B1264" s="5" t="str">
        <f>"223220191125164026212326"</f>
        <v>223220191125164026212326</v>
      </c>
      <c r="C1264" s="5" t="s">
        <v>43</v>
      </c>
      <c r="D1264" s="5" t="s">
        <v>44</v>
      </c>
      <c r="E1264" s="5" t="str">
        <f>"吕淑芳"</f>
        <v>吕淑芳</v>
      </c>
      <c r="F1264" s="5" t="str">
        <f t="shared" si="368"/>
        <v>女</v>
      </c>
      <c r="G1264" s="5" t="str">
        <f>"1988-11-20"</f>
        <v>1988-11-20</v>
      </c>
      <c r="H1264" s="5" t="str">
        <f>"海南软件职业技术学院"</f>
        <v>海南软件职业技术学院</v>
      </c>
    </row>
    <row r="1265" s="2" customFormat="1" ht="20" customHeight="1" spans="1:8">
      <c r="A1265" s="5">
        <v>1263</v>
      </c>
      <c r="B1265" s="5" t="str">
        <f>"223220191125165941212349"</f>
        <v>223220191125165941212349</v>
      </c>
      <c r="C1265" s="5" t="s">
        <v>43</v>
      </c>
      <c r="D1265" s="5" t="s">
        <v>44</v>
      </c>
      <c r="E1265" s="5" t="str">
        <f>"赵春金"</f>
        <v>赵春金</v>
      </c>
      <c r="F1265" s="5" t="str">
        <f t="shared" si="368"/>
        <v>女</v>
      </c>
      <c r="G1265" s="5" t="str">
        <f>"1993-03-02"</f>
        <v>1993-03-02</v>
      </c>
      <c r="H1265" s="5" t="str">
        <f>"上海建桥学院"</f>
        <v>上海建桥学院</v>
      </c>
    </row>
    <row r="1266" s="2" customFormat="1" ht="20" customHeight="1" spans="1:8">
      <c r="A1266" s="5">
        <v>1264</v>
      </c>
      <c r="B1266" s="5" t="str">
        <f>"223220191125171628212371"</f>
        <v>223220191125171628212371</v>
      </c>
      <c r="C1266" s="5" t="s">
        <v>43</v>
      </c>
      <c r="D1266" s="5" t="s">
        <v>44</v>
      </c>
      <c r="E1266" s="5" t="str">
        <f>"李庆跃"</f>
        <v>李庆跃</v>
      </c>
      <c r="F1266" s="5" t="str">
        <f t="shared" ref="F1266:F1271" si="369">"男"</f>
        <v>男</v>
      </c>
      <c r="G1266" s="5" t="str">
        <f>"1990-08-07"</f>
        <v>1990-08-07</v>
      </c>
      <c r="H1266" s="5" t="str">
        <f>"三亚理工职业学院"</f>
        <v>三亚理工职业学院</v>
      </c>
    </row>
    <row r="1267" s="2" customFormat="1" ht="20" customHeight="1" spans="1:8">
      <c r="A1267" s="5">
        <v>1265</v>
      </c>
      <c r="B1267" s="5" t="str">
        <f>"223220191125171948212377"</f>
        <v>223220191125171948212377</v>
      </c>
      <c r="C1267" s="5" t="s">
        <v>43</v>
      </c>
      <c r="D1267" s="5" t="s">
        <v>44</v>
      </c>
      <c r="E1267" s="5" t="str">
        <f>"陈佳佳"</f>
        <v>陈佳佳</v>
      </c>
      <c r="F1267" s="5" t="str">
        <f t="shared" ref="F1267:F1272" si="370">"女"</f>
        <v>女</v>
      </c>
      <c r="G1267" s="5" t="str">
        <f>"1996-10-30"</f>
        <v>1996-10-30</v>
      </c>
      <c r="H1267" s="5" t="str">
        <f>"长春财经学院"</f>
        <v>长春财经学院</v>
      </c>
    </row>
    <row r="1268" s="2" customFormat="1" ht="20" customHeight="1" spans="1:8">
      <c r="A1268" s="5">
        <v>1266</v>
      </c>
      <c r="B1268" s="5" t="str">
        <f>"223220191125173650212398"</f>
        <v>223220191125173650212398</v>
      </c>
      <c r="C1268" s="5" t="s">
        <v>43</v>
      </c>
      <c r="D1268" s="5" t="s">
        <v>44</v>
      </c>
      <c r="E1268" s="5" t="str">
        <f>"曾天秤"</f>
        <v>曾天秤</v>
      </c>
      <c r="F1268" s="5" t="str">
        <f t="shared" ref="F1268:F1271" si="371">"男"</f>
        <v>男</v>
      </c>
      <c r="G1268" s="5" t="str">
        <f>"1987-06-18"</f>
        <v>1987-06-18</v>
      </c>
      <c r="H1268" s="5" t="str">
        <f>"西安培华学院"</f>
        <v>西安培华学院</v>
      </c>
    </row>
    <row r="1269" s="2" customFormat="1" ht="20" customHeight="1" spans="1:8">
      <c r="A1269" s="5">
        <v>1267</v>
      </c>
      <c r="B1269" s="5" t="str">
        <f>"223220191125180429212443"</f>
        <v>223220191125180429212443</v>
      </c>
      <c r="C1269" s="5" t="s">
        <v>43</v>
      </c>
      <c r="D1269" s="5" t="s">
        <v>44</v>
      </c>
      <c r="E1269" s="5" t="str">
        <f>"邓梅花"</f>
        <v>邓梅花</v>
      </c>
      <c r="F1269" s="5" t="str">
        <f t="shared" ref="F1269:F1274" si="372">"女"</f>
        <v>女</v>
      </c>
      <c r="G1269" s="5" t="str">
        <f>"1994-04-18"</f>
        <v>1994-04-18</v>
      </c>
      <c r="H1269" s="5" t="str">
        <f>"西安翻译学院"</f>
        <v>西安翻译学院</v>
      </c>
    </row>
    <row r="1270" s="2" customFormat="1" ht="20" customHeight="1" spans="1:8">
      <c r="A1270" s="5">
        <v>1268</v>
      </c>
      <c r="B1270" s="5" t="str">
        <f>"223220191125185814212483"</f>
        <v>223220191125185814212483</v>
      </c>
      <c r="C1270" s="5" t="s">
        <v>43</v>
      </c>
      <c r="D1270" s="5" t="s">
        <v>44</v>
      </c>
      <c r="E1270" s="5" t="str">
        <f>"郑进让"</f>
        <v>郑进让</v>
      </c>
      <c r="F1270" s="5" t="str">
        <f>"男"</f>
        <v>男</v>
      </c>
      <c r="G1270" s="5" t="str">
        <f>"1996-07-30"</f>
        <v>1996-07-30</v>
      </c>
      <c r="H1270" s="5" t="str">
        <f>"西南民族大学"</f>
        <v>西南民族大学</v>
      </c>
    </row>
    <row r="1271" s="2" customFormat="1" ht="20" customHeight="1" spans="1:8">
      <c r="A1271" s="5">
        <v>1269</v>
      </c>
      <c r="B1271" s="5" t="str">
        <f>"223220191125192317212515"</f>
        <v>223220191125192317212515</v>
      </c>
      <c r="C1271" s="5" t="s">
        <v>43</v>
      </c>
      <c r="D1271" s="5" t="s">
        <v>44</v>
      </c>
      <c r="E1271" s="5" t="str">
        <f>"郑卫安"</f>
        <v>郑卫安</v>
      </c>
      <c r="F1271" s="5" t="str">
        <f>"男"</f>
        <v>男</v>
      </c>
      <c r="G1271" s="5" t="str">
        <f>"1991-01-24"</f>
        <v>1991-01-24</v>
      </c>
      <c r="H1271" s="5" t="str">
        <f>"成都工业学院"</f>
        <v>成都工业学院</v>
      </c>
    </row>
    <row r="1272" s="2" customFormat="1" ht="20" customHeight="1" spans="1:8">
      <c r="A1272" s="5">
        <v>1270</v>
      </c>
      <c r="B1272" s="5" t="str">
        <f>"223220191125194050212534"</f>
        <v>223220191125194050212534</v>
      </c>
      <c r="C1272" s="5" t="s">
        <v>43</v>
      </c>
      <c r="D1272" s="5" t="s">
        <v>44</v>
      </c>
      <c r="E1272" s="5" t="str">
        <f>"薛桂带"</f>
        <v>薛桂带</v>
      </c>
      <c r="F1272" s="5" t="str">
        <f>"女"</f>
        <v>女</v>
      </c>
      <c r="G1272" s="5" t="str">
        <f>"1995-05-11"</f>
        <v>1995-05-11</v>
      </c>
      <c r="H1272" s="5" t="str">
        <f>"忻州师范学院"</f>
        <v>忻州师范学院</v>
      </c>
    </row>
    <row r="1273" s="2" customFormat="1" ht="20" customHeight="1" spans="1:8">
      <c r="A1273" s="5">
        <v>1271</v>
      </c>
      <c r="B1273" s="5" t="str">
        <f>"223220191125194546212543"</f>
        <v>223220191125194546212543</v>
      </c>
      <c r="C1273" s="5" t="s">
        <v>43</v>
      </c>
      <c r="D1273" s="5" t="s">
        <v>44</v>
      </c>
      <c r="E1273" s="5" t="str">
        <f>"王应才"</f>
        <v>王应才</v>
      </c>
      <c r="F1273" s="5" t="str">
        <f t="shared" ref="F1273:F1280" si="373">"男"</f>
        <v>男</v>
      </c>
      <c r="G1273" s="5" t="str">
        <f>"1992-09-16"</f>
        <v>1992-09-16</v>
      </c>
      <c r="H1273" s="5" t="str">
        <f>"中央广播电视大学"</f>
        <v>中央广播电视大学</v>
      </c>
    </row>
    <row r="1274" s="2" customFormat="1" ht="20" customHeight="1" spans="1:8">
      <c r="A1274" s="5">
        <v>1272</v>
      </c>
      <c r="B1274" s="5" t="str">
        <f>"223220191125194917212548"</f>
        <v>223220191125194917212548</v>
      </c>
      <c r="C1274" s="5" t="s">
        <v>43</v>
      </c>
      <c r="D1274" s="5" t="s">
        <v>44</v>
      </c>
      <c r="E1274" s="5" t="str">
        <f>"曾丽蓉"</f>
        <v>曾丽蓉</v>
      </c>
      <c r="F1274" s="5" t="str">
        <f>"女"</f>
        <v>女</v>
      </c>
      <c r="G1274" s="5" t="str">
        <f>"1992-11-01"</f>
        <v>1992-11-01</v>
      </c>
      <c r="H1274" s="5" t="str">
        <f>"海南琼台师范高等专业学校"</f>
        <v>海南琼台师范高等专业学校</v>
      </c>
    </row>
    <row r="1275" s="2" customFormat="1" ht="20" customHeight="1" spans="1:8">
      <c r="A1275" s="5">
        <v>1273</v>
      </c>
      <c r="B1275" s="5" t="str">
        <f>"223220191125195241212552"</f>
        <v>223220191125195241212552</v>
      </c>
      <c r="C1275" s="5" t="s">
        <v>43</v>
      </c>
      <c r="D1275" s="5" t="s">
        <v>44</v>
      </c>
      <c r="E1275" s="5" t="str">
        <f>"李开平"</f>
        <v>李开平</v>
      </c>
      <c r="F1275" s="5" t="str">
        <f t="shared" ref="F1275:F1280" si="374">"男"</f>
        <v>男</v>
      </c>
      <c r="G1275" s="5" t="str">
        <f>"1995-06-20"</f>
        <v>1995-06-20</v>
      </c>
      <c r="H1275" s="5" t="str">
        <f>"海南政法职业学院"</f>
        <v>海南政法职业学院</v>
      </c>
    </row>
    <row r="1276" s="2" customFormat="1" ht="20" customHeight="1" spans="1:8">
      <c r="A1276" s="5">
        <v>1274</v>
      </c>
      <c r="B1276" s="5" t="str">
        <f>"223220191125200049212561"</f>
        <v>223220191125200049212561</v>
      </c>
      <c r="C1276" s="5" t="s">
        <v>43</v>
      </c>
      <c r="D1276" s="5" t="s">
        <v>44</v>
      </c>
      <c r="E1276" s="5" t="str">
        <f>"黎晓妹"</f>
        <v>黎晓妹</v>
      </c>
      <c r="F1276" s="5" t="str">
        <f>"女"</f>
        <v>女</v>
      </c>
      <c r="G1276" s="5" t="str">
        <f>"1989-09-10"</f>
        <v>1989-09-10</v>
      </c>
      <c r="H1276" s="5" t="str">
        <f>"海南大学"</f>
        <v>海南大学</v>
      </c>
    </row>
    <row r="1277" s="2" customFormat="1" ht="20" customHeight="1" spans="1:8">
      <c r="A1277" s="5">
        <v>1275</v>
      </c>
      <c r="B1277" s="5" t="str">
        <f>"223220191125200816212573"</f>
        <v>223220191125200816212573</v>
      </c>
      <c r="C1277" s="5" t="s">
        <v>43</v>
      </c>
      <c r="D1277" s="5" t="s">
        <v>44</v>
      </c>
      <c r="E1277" s="5" t="str">
        <f>"吴造喜"</f>
        <v>吴造喜</v>
      </c>
      <c r="F1277" s="5" t="str">
        <f>"男"</f>
        <v>男</v>
      </c>
      <c r="G1277" s="5" t="str">
        <f>"1996-01-10"</f>
        <v>1996-01-10</v>
      </c>
      <c r="H1277" s="5" t="str">
        <f>"辽宁财贸学院"</f>
        <v>辽宁财贸学院</v>
      </c>
    </row>
    <row r="1278" s="2" customFormat="1" ht="20" customHeight="1" spans="1:8">
      <c r="A1278" s="5">
        <v>1276</v>
      </c>
      <c r="B1278" s="5" t="str">
        <f>"223220191125201928212595"</f>
        <v>223220191125201928212595</v>
      </c>
      <c r="C1278" s="5" t="s">
        <v>43</v>
      </c>
      <c r="D1278" s="5" t="s">
        <v>44</v>
      </c>
      <c r="E1278" s="5" t="str">
        <f>"潘显科"</f>
        <v>潘显科</v>
      </c>
      <c r="F1278" s="5" t="str">
        <f>"男"</f>
        <v>男</v>
      </c>
      <c r="G1278" s="5" t="str">
        <f>"1992-05-04"</f>
        <v>1992-05-04</v>
      </c>
      <c r="H1278" s="5" t="str">
        <f>"陕西警官职业学院"</f>
        <v>陕西警官职业学院</v>
      </c>
    </row>
    <row r="1279" s="2" customFormat="1" ht="20" customHeight="1" spans="1:8">
      <c r="A1279" s="5">
        <v>1277</v>
      </c>
      <c r="B1279" s="5" t="str">
        <f>"223220191125202534212600"</f>
        <v>223220191125202534212600</v>
      </c>
      <c r="C1279" s="5" t="s">
        <v>43</v>
      </c>
      <c r="D1279" s="5" t="s">
        <v>44</v>
      </c>
      <c r="E1279" s="5" t="str">
        <f>"黄方裕"</f>
        <v>黄方裕</v>
      </c>
      <c r="F1279" s="5" t="str">
        <f>"男"</f>
        <v>男</v>
      </c>
      <c r="G1279" s="5" t="str">
        <f>"1990-07-23"</f>
        <v>1990-07-23</v>
      </c>
      <c r="H1279" s="5" t="str">
        <f>"江西理工大学"</f>
        <v>江西理工大学</v>
      </c>
    </row>
    <row r="1280" s="2" customFormat="1" ht="20" customHeight="1" spans="1:8">
      <c r="A1280" s="5">
        <v>1278</v>
      </c>
      <c r="B1280" s="5" t="str">
        <f>"223220191125203015212606"</f>
        <v>223220191125203015212606</v>
      </c>
      <c r="C1280" s="5" t="s">
        <v>43</v>
      </c>
      <c r="D1280" s="5" t="s">
        <v>44</v>
      </c>
      <c r="E1280" s="5" t="str">
        <f>"欧祥科"</f>
        <v>欧祥科</v>
      </c>
      <c r="F1280" s="5" t="str">
        <f>"男"</f>
        <v>男</v>
      </c>
      <c r="G1280" s="5" t="str">
        <f>"1996-08-18"</f>
        <v>1996-08-18</v>
      </c>
      <c r="H1280" s="5" t="str">
        <f>"昆明理工大学津桥学院"</f>
        <v>昆明理工大学津桥学院</v>
      </c>
    </row>
    <row r="1281" s="2" customFormat="1" ht="20" customHeight="1" spans="1:8">
      <c r="A1281" s="5">
        <v>1279</v>
      </c>
      <c r="B1281" s="5" t="str">
        <f>"223220191125203332212612"</f>
        <v>223220191125203332212612</v>
      </c>
      <c r="C1281" s="5" t="s">
        <v>43</v>
      </c>
      <c r="D1281" s="5" t="s">
        <v>44</v>
      </c>
      <c r="E1281" s="5" t="str">
        <f>"彭梅青"</f>
        <v>彭梅青</v>
      </c>
      <c r="F1281" s="5" t="str">
        <f t="shared" ref="F1281:F1284" si="375">"女"</f>
        <v>女</v>
      </c>
      <c r="G1281" s="5" t="str">
        <f>"1988-05-10"</f>
        <v>1988-05-10</v>
      </c>
      <c r="H1281" s="5" t="str">
        <f>"曲靖师范学院"</f>
        <v>曲靖师范学院</v>
      </c>
    </row>
    <row r="1282" s="2" customFormat="1" ht="20" customHeight="1" spans="1:8">
      <c r="A1282" s="5">
        <v>1280</v>
      </c>
      <c r="B1282" s="5" t="str">
        <f>"223220191125203656212617"</f>
        <v>223220191125203656212617</v>
      </c>
      <c r="C1282" s="5" t="s">
        <v>43</v>
      </c>
      <c r="D1282" s="5" t="s">
        <v>44</v>
      </c>
      <c r="E1282" s="5" t="str">
        <f>"曾琼妹"</f>
        <v>曾琼妹</v>
      </c>
      <c r="F1282" s="5" t="str">
        <f t="shared" si="375"/>
        <v>女</v>
      </c>
      <c r="G1282" s="5" t="str">
        <f>"1992-11-27"</f>
        <v>1992-11-27</v>
      </c>
      <c r="H1282" s="5" t="str">
        <f>"西安航空学院"</f>
        <v>西安航空学院</v>
      </c>
    </row>
    <row r="1283" s="2" customFormat="1" ht="20" customHeight="1" spans="1:8">
      <c r="A1283" s="5">
        <v>1281</v>
      </c>
      <c r="B1283" s="5" t="str">
        <f>"223220191125204545212629"</f>
        <v>223220191125204545212629</v>
      </c>
      <c r="C1283" s="5" t="s">
        <v>43</v>
      </c>
      <c r="D1283" s="5" t="s">
        <v>44</v>
      </c>
      <c r="E1283" s="5" t="str">
        <f>"魏用图"</f>
        <v>魏用图</v>
      </c>
      <c r="F1283" s="5" t="str">
        <f t="shared" ref="F1283:F1291" si="376">"男"</f>
        <v>男</v>
      </c>
      <c r="G1283" s="5" t="str">
        <f>"1979-12-20"</f>
        <v>1979-12-20</v>
      </c>
      <c r="H1283" s="5" t="str">
        <f>"海口经济职业技术学院"</f>
        <v>海口经济职业技术学院</v>
      </c>
    </row>
    <row r="1284" s="2" customFormat="1" ht="20" customHeight="1" spans="1:8">
      <c r="A1284" s="5">
        <v>1282</v>
      </c>
      <c r="B1284" s="5" t="str">
        <f>"223220191125210542212657"</f>
        <v>223220191125210542212657</v>
      </c>
      <c r="C1284" s="5" t="s">
        <v>43</v>
      </c>
      <c r="D1284" s="5" t="s">
        <v>44</v>
      </c>
      <c r="E1284" s="5" t="str">
        <f>"吴金雅"</f>
        <v>吴金雅</v>
      </c>
      <c r="F1284" s="5" t="str">
        <f t="shared" ref="F1284:F1287" si="377">"女"</f>
        <v>女</v>
      </c>
      <c r="G1284" s="5" t="str">
        <f>"1992-12-26"</f>
        <v>1992-12-26</v>
      </c>
      <c r="H1284" s="5" t="str">
        <f>"三亚航空旅游职业学院"</f>
        <v>三亚航空旅游职业学院</v>
      </c>
    </row>
    <row r="1285" s="2" customFormat="1" ht="20" customHeight="1" spans="1:8">
      <c r="A1285" s="5">
        <v>1283</v>
      </c>
      <c r="B1285" s="5" t="str">
        <f>"223220191125210617212658"</f>
        <v>223220191125210617212658</v>
      </c>
      <c r="C1285" s="5" t="s">
        <v>43</v>
      </c>
      <c r="D1285" s="5" t="s">
        <v>44</v>
      </c>
      <c r="E1285" s="5" t="str">
        <f>"谢群达"</f>
        <v>谢群达</v>
      </c>
      <c r="F1285" s="5" t="str">
        <f t="shared" ref="F1285:F1291" si="378">"男"</f>
        <v>男</v>
      </c>
      <c r="G1285" s="5" t="str">
        <f>"1990-12-24"</f>
        <v>1990-12-24</v>
      </c>
      <c r="H1285" s="5" t="str">
        <f>"衡水学院"</f>
        <v>衡水学院</v>
      </c>
    </row>
    <row r="1286" s="2" customFormat="1" ht="20" customHeight="1" spans="1:8">
      <c r="A1286" s="5">
        <v>1284</v>
      </c>
      <c r="B1286" s="5" t="str">
        <f>"223220191125210930212664"</f>
        <v>223220191125210930212664</v>
      </c>
      <c r="C1286" s="5" t="s">
        <v>43</v>
      </c>
      <c r="D1286" s="5" t="s">
        <v>44</v>
      </c>
      <c r="E1286" s="5" t="str">
        <f>"胡钰苹"</f>
        <v>胡钰苹</v>
      </c>
      <c r="F1286" s="5" t="str">
        <f>"女"</f>
        <v>女</v>
      </c>
      <c r="G1286" s="5" t="str">
        <f>"1995-06-19"</f>
        <v>1995-06-19</v>
      </c>
      <c r="H1286" s="5" t="str">
        <f>"湖北大学"</f>
        <v>湖北大学</v>
      </c>
    </row>
    <row r="1287" s="2" customFormat="1" ht="20" customHeight="1" spans="1:8">
      <c r="A1287" s="5">
        <v>1285</v>
      </c>
      <c r="B1287" s="5" t="str">
        <f>"223220191125211436212673"</f>
        <v>223220191125211436212673</v>
      </c>
      <c r="C1287" s="5" t="s">
        <v>43</v>
      </c>
      <c r="D1287" s="5" t="s">
        <v>44</v>
      </c>
      <c r="E1287" s="5" t="str">
        <f>"谢伟鑫"</f>
        <v>谢伟鑫</v>
      </c>
      <c r="F1287" s="5" t="str">
        <f>"女"</f>
        <v>女</v>
      </c>
      <c r="G1287" s="5" t="str">
        <f>"1994-04-26"</f>
        <v>1994-04-26</v>
      </c>
      <c r="H1287" s="5" t="str">
        <f>"中南林业科技大学"</f>
        <v>中南林业科技大学</v>
      </c>
    </row>
    <row r="1288" s="2" customFormat="1" ht="20" customHeight="1" spans="1:8">
      <c r="A1288" s="5">
        <v>1286</v>
      </c>
      <c r="B1288" s="5" t="str">
        <f>"223220191125211624212677"</f>
        <v>223220191125211624212677</v>
      </c>
      <c r="C1288" s="5" t="s">
        <v>43</v>
      </c>
      <c r="D1288" s="5" t="s">
        <v>44</v>
      </c>
      <c r="E1288" s="5" t="str">
        <f>"黎源清"</f>
        <v>黎源清</v>
      </c>
      <c r="F1288" s="5" t="str">
        <f>"男"</f>
        <v>男</v>
      </c>
      <c r="G1288" s="5" t="str">
        <f>"1992-09-05"</f>
        <v>1992-09-05</v>
      </c>
      <c r="H1288" s="5" t="str">
        <f>"西华大学"</f>
        <v>西华大学</v>
      </c>
    </row>
    <row r="1289" s="2" customFormat="1" ht="20" customHeight="1" spans="1:8">
      <c r="A1289" s="5">
        <v>1287</v>
      </c>
      <c r="B1289" s="5" t="str">
        <f>"223220191125212136212684"</f>
        <v>223220191125212136212684</v>
      </c>
      <c r="C1289" s="5" t="s">
        <v>43</v>
      </c>
      <c r="D1289" s="5" t="s">
        <v>44</v>
      </c>
      <c r="E1289" s="5" t="str">
        <f>"杨成翔"</f>
        <v>杨成翔</v>
      </c>
      <c r="F1289" s="5" t="str">
        <f>"男"</f>
        <v>男</v>
      </c>
      <c r="G1289" s="5" t="str">
        <f>"1992-01-03"</f>
        <v>1992-01-03</v>
      </c>
      <c r="H1289" s="5" t="str">
        <f>"海口经济学院"</f>
        <v>海口经济学院</v>
      </c>
    </row>
    <row r="1290" s="2" customFormat="1" ht="20" customHeight="1" spans="1:8">
      <c r="A1290" s="5">
        <v>1288</v>
      </c>
      <c r="B1290" s="5" t="str">
        <f>"223220191125213251212695"</f>
        <v>223220191125213251212695</v>
      </c>
      <c r="C1290" s="5" t="s">
        <v>43</v>
      </c>
      <c r="D1290" s="5" t="s">
        <v>44</v>
      </c>
      <c r="E1290" s="5" t="str">
        <f>"陈德珅"</f>
        <v>陈德珅</v>
      </c>
      <c r="F1290" s="5" t="str">
        <f>"男"</f>
        <v>男</v>
      </c>
      <c r="G1290" s="5" t="str">
        <f>"1989-11-26"</f>
        <v>1989-11-26</v>
      </c>
      <c r="H1290" s="5" t="str">
        <f>"长春职业技术学院"</f>
        <v>长春职业技术学院</v>
      </c>
    </row>
    <row r="1291" s="2" customFormat="1" ht="20" customHeight="1" spans="1:8">
      <c r="A1291" s="5">
        <v>1289</v>
      </c>
      <c r="B1291" s="5" t="str">
        <f>"223220191125214135212716"</f>
        <v>223220191125214135212716</v>
      </c>
      <c r="C1291" s="5" t="s">
        <v>43</v>
      </c>
      <c r="D1291" s="5" t="s">
        <v>44</v>
      </c>
      <c r="E1291" s="5" t="str">
        <f>"李巨威"</f>
        <v>李巨威</v>
      </c>
      <c r="F1291" s="5" t="str">
        <f>"男"</f>
        <v>男</v>
      </c>
      <c r="G1291" s="5" t="str">
        <f>"1988-04-07"</f>
        <v>1988-04-07</v>
      </c>
      <c r="H1291" s="5" t="str">
        <f>"重庆教育学院"</f>
        <v>重庆教育学院</v>
      </c>
    </row>
    <row r="1292" s="2" customFormat="1" ht="20" customHeight="1" spans="1:8">
      <c r="A1292" s="5">
        <v>1290</v>
      </c>
      <c r="B1292" s="5" t="str">
        <f>"223220191125214343212721"</f>
        <v>223220191125214343212721</v>
      </c>
      <c r="C1292" s="5" t="s">
        <v>43</v>
      </c>
      <c r="D1292" s="5" t="s">
        <v>44</v>
      </c>
      <c r="E1292" s="5" t="str">
        <f>"陈允丹"</f>
        <v>陈允丹</v>
      </c>
      <c r="F1292" s="5" t="str">
        <f>"女"</f>
        <v>女</v>
      </c>
      <c r="G1292" s="5" t="str">
        <f>"1993-09-06"</f>
        <v>1993-09-06</v>
      </c>
      <c r="H1292" s="5" t="str">
        <f>"泉州经贸职业技术学院"</f>
        <v>泉州经贸职业技术学院</v>
      </c>
    </row>
    <row r="1293" s="2" customFormat="1" ht="20" customHeight="1" spans="1:8">
      <c r="A1293" s="5">
        <v>1291</v>
      </c>
      <c r="B1293" s="5" t="str">
        <f>"223220191125215320212726"</f>
        <v>223220191125215320212726</v>
      </c>
      <c r="C1293" s="5" t="s">
        <v>43</v>
      </c>
      <c r="D1293" s="5" t="s">
        <v>44</v>
      </c>
      <c r="E1293" s="5" t="str">
        <f>"薛琼文"</f>
        <v>薛琼文</v>
      </c>
      <c r="F1293" s="5" t="str">
        <f t="shared" ref="F1293:F1297" si="379">"男"</f>
        <v>男</v>
      </c>
      <c r="G1293" s="5" t="str">
        <f>"1985-11-01"</f>
        <v>1985-11-01</v>
      </c>
      <c r="H1293" s="5" t="str">
        <f>"重庆电子科技职业学院"</f>
        <v>重庆电子科技职业学院</v>
      </c>
    </row>
    <row r="1294" s="2" customFormat="1" ht="20" customHeight="1" spans="1:8">
      <c r="A1294" s="5">
        <v>1292</v>
      </c>
      <c r="B1294" s="5" t="str">
        <f>"223220191125220601212738"</f>
        <v>223220191125220601212738</v>
      </c>
      <c r="C1294" s="5" t="s">
        <v>43</v>
      </c>
      <c r="D1294" s="5" t="s">
        <v>44</v>
      </c>
      <c r="E1294" s="5" t="str">
        <f>"符策玮"</f>
        <v>符策玮</v>
      </c>
      <c r="F1294" s="5" t="str">
        <f t="shared" si="379"/>
        <v>男</v>
      </c>
      <c r="G1294" s="5" t="str">
        <f>"1991-12-31"</f>
        <v>1991-12-31</v>
      </c>
      <c r="H1294" s="5" t="str">
        <f>"海南软件职业技术学院"</f>
        <v>海南软件职业技术学院</v>
      </c>
    </row>
    <row r="1295" s="2" customFormat="1" ht="20" customHeight="1" spans="1:8">
      <c r="A1295" s="5">
        <v>1293</v>
      </c>
      <c r="B1295" s="5" t="str">
        <f>"223220191125223041212759"</f>
        <v>223220191125223041212759</v>
      </c>
      <c r="C1295" s="5" t="s">
        <v>43</v>
      </c>
      <c r="D1295" s="5" t="s">
        <v>44</v>
      </c>
      <c r="E1295" s="5" t="str">
        <f>"杨威"</f>
        <v>杨威</v>
      </c>
      <c r="F1295" s="5" t="str">
        <f t="shared" si="379"/>
        <v>男</v>
      </c>
      <c r="G1295" s="5" t="str">
        <f>"1997-05-02"</f>
        <v>1997-05-02</v>
      </c>
      <c r="H1295" s="5" t="str">
        <f>"泉州理工职业学院"</f>
        <v>泉州理工职业学院</v>
      </c>
    </row>
    <row r="1296" s="2" customFormat="1" ht="20" customHeight="1" spans="1:8">
      <c r="A1296" s="5">
        <v>1294</v>
      </c>
      <c r="B1296" s="5" t="str">
        <f>"223220191126012025212829"</f>
        <v>223220191126012025212829</v>
      </c>
      <c r="C1296" s="5" t="s">
        <v>43</v>
      </c>
      <c r="D1296" s="5" t="s">
        <v>44</v>
      </c>
      <c r="E1296" s="5" t="str">
        <f>"陈君候"</f>
        <v>陈君候</v>
      </c>
      <c r="F1296" s="5" t="str">
        <f t="shared" si="379"/>
        <v>男</v>
      </c>
      <c r="G1296" s="5" t="str">
        <f>"1989-05-09"</f>
        <v>1989-05-09</v>
      </c>
      <c r="H1296" s="5" t="str">
        <f>"玉林师范学院"</f>
        <v>玉林师范学院</v>
      </c>
    </row>
    <row r="1297" s="2" customFormat="1" ht="20" customHeight="1" spans="1:8">
      <c r="A1297" s="5">
        <v>1295</v>
      </c>
      <c r="B1297" s="5" t="str">
        <f>"223220191126021040212831"</f>
        <v>223220191126021040212831</v>
      </c>
      <c r="C1297" s="5" t="s">
        <v>43</v>
      </c>
      <c r="D1297" s="5" t="s">
        <v>44</v>
      </c>
      <c r="E1297" s="5" t="str">
        <f>"骆日康"</f>
        <v>骆日康</v>
      </c>
      <c r="F1297" s="5" t="str">
        <f t="shared" si="379"/>
        <v>男</v>
      </c>
      <c r="G1297" s="5" t="str">
        <f>"1990-10-02"</f>
        <v>1990-10-02</v>
      </c>
      <c r="H1297" s="5" t="str">
        <f>"长沙理工大学"</f>
        <v>长沙理工大学</v>
      </c>
    </row>
    <row r="1298" s="2" customFormat="1" ht="20" customHeight="1" spans="1:8">
      <c r="A1298" s="5">
        <v>1296</v>
      </c>
      <c r="B1298" s="5" t="str">
        <f>"223220191126081915212881"</f>
        <v>223220191126081915212881</v>
      </c>
      <c r="C1298" s="5" t="s">
        <v>43</v>
      </c>
      <c r="D1298" s="5" t="s">
        <v>44</v>
      </c>
      <c r="E1298" s="5" t="str">
        <f>"万佳华"</f>
        <v>万佳华</v>
      </c>
      <c r="F1298" s="5" t="str">
        <f t="shared" ref="F1298:F1303" si="380">"女"</f>
        <v>女</v>
      </c>
      <c r="G1298" s="5" t="str">
        <f>"1998-05-22"</f>
        <v>1998-05-22</v>
      </c>
      <c r="H1298" s="5" t="str">
        <f>"湖南科技大学"</f>
        <v>湖南科技大学</v>
      </c>
    </row>
    <row r="1299" s="2" customFormat="1" ht="20" customHeight="1" spans="1:8">
      <c r="A1299" s="5">
        <v>1297</v>
      </c>
      <c r="B1299" s="5" t="str">
        <f>"223220191126082317212893"</f>
        <v>223220191126082317212893</v>
      </c>
      <c r="C1299" s="5" t="s">
        <v>43</v>
      </c>
      <c r="D1299" s="5" t="s">
        <v>44</v>
      </c>
      <c r="E1299" s="5" t="str">
        <f>"吕伟器"</f>
        <v>吕伟器</v>
      </c>
      <c r="F1299" s="5" t="str">
        <f t="shared" ref="F1299:F1302" si="381">"男"</f>
        <v>男</v>
      </c>
      <c r="G1299" s="5" t="str">
        <f>"1988-11-10"</f>
        <v>1988-11-10</v>
      </c>
      <c r="H1299" s="5" t="str">
        <f>"青岛理工大学琴岛学院"</f>
        <v>青岛理工大学琴岛学院</v>
      </c>
    </row>
    <row r="1300" s="2" customFormat="1" ht="20" customHeight="1" spans="1:8">
      <c r="A1300" s="5">
        <v>1298</v>
      </c>
      <c r="B1300" s="5" t="str">
        <f>"223220191126083419212909"</f>
        <v>223220191126083419212909</v>
      </c>
      <c r="C1300" s="5" t="s">
        <v>43</v>
      </c>
      <c r="D1300" s="5" t="s">
        <v>44</v>
      </c>
      <c r="E1300" s="5" t="str">
        <f>"郭文"</f>
        <v>郭文</v>
      </c>
      <c r="F1300" s="5" t="str">
        <f t="shared" si="381"/>
        <v>男</v>
      </c>
      <c r="G1300" s="5" t="str">
        <f>"1985-11-12"</f>
        <v>1985-11-12</v>
      </c>
      <c r="H1300" s="5" t="str">
        <f>"海南政法职业学院"</f>
        <v>海南政法职业学院</v>
      </c>
    </row>
    <row r="1301" s="2" customFormat="1" ht="20" customHeight="1" spans="1:8">
      <c r="A1301" s="5">
        <v>1299</v>
      </c>
      <c r="B1301" s="5" t="str">
        <f>"223220191126083703212920"</f>
        <v>223220191126083703212920</v>
      </c>
      <c r="C1301" s="5" t="s">
        <v>43</v>
      </c>
      <c r="D1301" s="5" t="s">
        <v>44</v>
      </c>
      <c r="E1301" s="5" t="str">
        <f>"符文香"</f>
        <v>符文香</v>
      </c>
      <c r="F1301" s="5" t="str">
        <f t="shared" ref="F1301:F1305" si="382">"女"</f>
        <v>女</v>
      </c>
      <c r="G1301" s="5" t="str">
        <f>"1995-10-08"</f>
        <v>1995-10-08</v>
      </c>
      <c r="H1301" s="5" t="str">
        <f>"曲靖师范学院"</f>
        <v>曲靖师范学院</v>
      </c>
    </row>
    <row r="1302" s="2" customFormat="1" ht="20" customHeight="1" spans="1:8">
      <c r="A1302" s="5">
        <v>1300</v>
      </c>
      <c r="B1302" s="5" t="str">
        <f>"223220191126092154213077"</f>
        <v>223220191126092154213077</v>
      </c>
      <c r="C1302" s="5" t="s">
        <v>43</v>
      </c>
      <c r="D1302" s="5" t="s">
        <v>44</v>
      </c>
      <c r="E1302" s="5" t="str">
        <f>"周赞斌"</f>
        <v>周赞斌</v>
      </c>
      <c r="F1302" s="5" t="str">
        <f t="shared" ref="F1302:F1307" si="383">"男"</f>
        <v>男</v>
      </c>
      <c r="G1302" s="5" t="str">
        <f>"1990-03-25"</f>
        <v>1990-03-25</v>
      </c>
      <c r="H1302" s="5" t="str">
        <f>"烟台南山学院"</f>
        <v>烟台南山学院</v>
      </c>
    </row>
    <row r="1303" s="2" customFormat="1" ht="20" customHeight="1" spans="1:8">
      <c r="A1303" s="5">
        <v>1301</v>
      </c>
      <c r="B1303" s="5" t="str">
        <f>"223220191126102539213357"</f>
        <v>223220191126102539213357</v>
      </c>
      <c r="C1303" s="5" t="s">
        <v>43</v>
      </c>
      <c r="D1303" s="5" t="s">
        <v>44</v>
      </c>
      <c r="E1303" s="5" t="str">
        <f>"陈莹"</f>
        <v>陈莹</v>
      </c>
      <c r="F1303" s="5" t="str">
        <f>"女"</f>
        <v>女</v>
      </c>
      <c r="G1303" s="5" t="str">
        <f>"1993-08-21"</f>
        <v>1993-08-21</v>
      </c>
      <c r="H1303" s="5" t="str">
        <f>"延边大学"</f>
        <v>延边大学</v>
      </c>
    </row>
    <row r="1304" s="2" customFormat="1" ht="20" customHeight="1" spans="1:8">
      <c r="A1304" s="5">
        <v>1302</v>
      </c>
      <c r="B1304" s="5" t="str">
        <f>"223220191126102924213372"</f>
        <v>223220191126102924213372</v>
      </c>
      <c r="C1304" s="5" t="s">
        <v>43</v>
      </c>
      <c r="D1304" s="5" t="s">
        <v>44</v>
      </c>
      <c r="E1304" s="5" t="str">
        <f>"李栋"</f>
        <v>李栋</v>
      </c>
      <c r="F1304" s="5" t="str">
        <f t="shared" ref="F1304:F1307" si="384">"男"</f>
        <v>男</v>
      </c>
      <c r="G1304" s="5" t="str">
        <f>"1996-09-06"</f>
        <v>1996-09-06</v>
      </c>
      <c r="H1304" s="5" t="str">
        <f>"琼台师范学院"</f>
        <v>琼台师范学院</v>
      </c>
    </row>
    <row r="1305" s="2" customFormat="1" ht="20" customHeight="1" spans="1:8">
      <c r="A1305" s="5">
        <v>1303</v>
      </c>
      <c r="B1305" s="5" t="str">
        <f>"223220191126104519213429"</f>
        <v>223220191126104519213429</v>
      </c>
      <c r="C1305" s="5" t="s">
        <v>43</v>
      </c>
      <c r="D1305" s="5" t="s">
        <v>44</v>
      </c>
      <c r="E1305" s="5" t="str">
        <f>" 黎夏彩"</f>
        <v> 黎夏彩</v>
      </c>
      <c r="F1305" s="5" t="str">
        <f>"女"</f>
        <v>女</v>
      </c>
      <c r="G1305" s="5" t="str">
        <f>"1986-06-14"</f>
        <v>1986-06-14</v>
      </c>
      <c r="H1305" s="5" t="str">
        <f>"琼州学院"</f>
        <v>琼州学院</v>
      </c>
    </row>
    <row r="1306" s="2" customFormat="1" ht="20" customHeight="1" spans="1:8">
      <c r="A1306" s="5">
        <v>1304</v>
      </c>
      <c r="B1306" s="5" t="str">
        <f>"223220191126105146213448"</f>
        <v>223220191126105146213448</v>
      </c>
      <c r="C1306" s="5" t="s">
        <v>43</v>
      </c>
      <c r="D1306" s="5" t="s">
        <v>44</v>
      </c>
      <c r="E1306" s="5" t="str">
        <f>"符义"</f>
        <v>符义</v>
      </c>
      <c r="F1306" s="5" t="str">
        <f>"男"</f>
        <v>男</v>
      </c>
      <c r="G1306" s="5" t="str">
        <f>"1990-10-08"</f>
        <v>1990-10-08</v>
      </c>
      <c r="H1306" s="5" t="str">
        <f>"重庆城市管理职业学院 "</f>
        <v>重庆城市管理职业学院 </v>
      </c>
    </row>
    <row r="1307" s="2" customFormat="1" ht="20" customHeight="1" spans="1:8">
      <c r="A1307" s="5">
        <v>1305</v>
      </c>
      <c r="B1307" s="5" t="str">
        <f>"223220191126105633213462"</f>
        <v>223220191126105633213462</v>
      </c>
      <c r="C1307" s="5" t="s">
        <v>43</v>
      </c>
      <c r="D1307" s="5" t="s">
        <v>44</v>
      </c>
      <c r="E1307" s="5" t="str">
        <f>"李玉华"</f>
        <v>李玉华</v>
      </c>
      <c r="F1307" s="5" t="str">
        <f>"男"</f>
        <v>男</v>
      </c>
      <c r="G1307" s="5" t="str">
        <f>"1994-01-08"</f>
        <v>1994-01-08</v>
      </c>
      <c r="H1307" s="5" t="str">
        <f>"江西工业工程职业技术学院"</f>
        <v>江西工业工程职业技术学院</v>
      </c>
    </row>
    <row r="1308" s="2" customFormat="1" ht="20" customHeight="1" spans="1:8">
      <c r="A1308" s="5">
        <v>1306</v>
      </c>
      <c r="B1308" s="5" t="str">
        <f>"223220191126110523213493"</f>
        <v>223220191126110523213493</v>
      </c>
      <c r="C1308" s="5" t="s">
        <v>43</v>
      </c>
      <c r="D1308" s="5" t="s">
        <v>44</v>
      </c>
      <c r="E1308" s="5" t="str">
        <f>"陈雪梅"</f>
        <v>陈雪梅</v>
      </c>
      <c r="F1308" s="5" t="str">
        <f>"女"</f>
        <v>女</v>
      </c>
      <c r="G1308" s="5" t="str">
        <f>"1992-07-07"</f>
        <v>1992-07-07</v>
      </c>
      <c r="H1308" s="5" t="str">
        <f>"厦门大学嘉庚学院"</f>
        <v>厦门大学嘉庚学院</v>
      </c>
    </row>
    <row r="1309" s="2" customFormat="1" ht="20" customHeight="1" spans="1:8">
      <c r="A1309" s="5">
        <v>1307</v>
      </c>
      <c r="B1309" s="5" t="str">
        <f>"223220191126113108213575"</f>
        <v>223220191126113108213575</v>
      </c>
      <c r="C1309" s="5" t="s">
        <v>43</v>
      </c>
      <c r="D1309" s="5" t="s">
        <v>44</v>
      </c>
      <c r="E1309" s="5" t="str">
        <f>"符运瑞"</f>
        <v>符运瑞</v>
      </c>
      <c r="F1309" s="5" t="str">
        <f t="shared" ref="F1309:F1313" si="385">"男"</f>
        <v>男</v>
      </c>
      <c r="G1309" s="5" t="str">
        <f>"1990-01-27"</f>
        <v>1990-01-27</v>
      </c>
      <c r="H1309" s="5" t="str">
        <f>"海南大学"</f>
        <v>海南大学</v>
      </c>
    </row>
    <row r="1310" s="2" customFormat="1" ht="20" customHeight="1" spans="1:8">
      <c r="A1310" s="5">
        <v>1308</v>
      </c>
      <c r="B1310" s="5" t="str">
        <f>"223220191126114057213612"</f>
        <v>223220191126114057213612</v>
      </c>
      <c r="C1310" s="5" t="s">
        <v>43</v>
      </c>
      <c r="D1310" s="5" t="s">
        <v>44</v>
      </c>
      <c r="E1310" s="5" t="str">
        <f>"李日东"</f>
        <v>李日东</v>
      </c>
      <c r="F1310" s="5" t="str">
        <f t="shared" si="385"/>
        <v>男</v>
      </c>
      <c r="G1310" s="5" t="str">
        <f>"1992-09-08"</f>
        <v>1992-09-08</v>
      </c>
      <c r="H1310" s="5" t="str">
        <f>"洛阳理工学院"</f>
        <v>洛阳理工学院</v>
      </c>
    </row>
    <row r="1311" s="2" customFormat="1" ht="20" customHeight="1" spans="1:8">
      <c r="A1311" s="5">
        <v>1309</v>
      </c>
      <c r="B1311" s="5" t="str">
        <f>"223220191126120245213658"</f>
        <v>223220191126120245213658</v>
      </c>
      <c r="C1311" s="5" t="s">
        <v>43</v>
      </c>
      <c r="D1311" s="5" t="s">
        <v>44</v>
      </c>
      <c r="E1311" s="5" t="str">
        <f>"邓水意"</f>
        <v>邓水意</v>
      </c>
      <c r="F1311" s="5" t="str">
        <f t="shared" ref="F1311:F1315" si="386">"女"</f>
        <v>女</v>
      </c>
      <c r="G1311" s="5" t="str">
        <f>"1995-07-19"</f>
        <v>1995-07-19</v>
      </c>
      <c r="H1311" s="5" t="str">
        <f>"安徽中医药高等专科学校"</f>
        <v>安徽中医药高等专科学校</v>
      </c>
    </row>
    <row r="1312" s="2" customFormat="1" ht="20" customHeight="1" spans="1:8">
      <c r="A1312" s="5">
        <v>1310</v>
      </c>
      <c r="B1312" s="5" t="str">
        <f>"223220191126121555213682"</f>
        <v>223220191126121555213682</v>
      </c>
      <c r="C1312" s="5" t="s">
        <v>43</v>
      </c>
      <c r="D1312" s="5" t="s">
        <v>44</v>
      </c>
      <c r="E1312" s="5" t="str">
        <f>"何应京"</f>
        <v>何应京</v>
      </c>
      <c r="F1312" s="5" t="str">
        <f t="shared" ref="F1312:F1316" si="387">"男"</f>
        <v>男</v>
      </c>
      <c r="G1312" s="5" t="str">
        <f>"1993-07-18"</f>
        <v>1993-07-18</v>
      </c>
      <c r="H1312" s="5" t="str">
        <f>"西安思源学校"</f>
        <v>西安思源学校</v>
      </c>
    </row>
    <row r="1313" s="2" customFormat="1" ht="20" customHeight="1" spans="1:8">
      <c r="A1313" s="5">
        <v>1311</v>
      </c>
      <c r="B1313" s="5" t="str">
        <f>"223220191126123346213724"</f>
        <v>223220191126123346213724</v>
      </c>
      <c r="C1313" s="5" t="s">
        <v>43</v>
      </c>
      <c r="D1313" s="5" t="s">
        <v>44</v>
      </c>
      <c r="E1313" s="5" t="str">
        <f>"何满"</f>
        <v>何满</v>
      </c>
      <c r="F1313" s="5" t="str">
        <f t="shared" si="387"/>
        <v>男</v>
      </c>
      <c r="G1313" s="5" t="str">
        <f>"1987-06-05"</f>
        <v>1987-06-05</v>
      </c>
      <c r="H1313" s="5" t="str">
        <f>"海南省琼台师范高等专科学校"</f>
        <v>海南省琼台师范高等专科学校</v>
      </c>
    </row>
    <row r="1314" s="2" customFormat="1" ht="20" customHeight="1" spans="1:8">
      <c r="A1314" s="5">
        <v>1312</v>
      </c>
      <c r="B1314" s="5" t="str">
        <f>"223220191126123528213729"</f>
        <v>223220191126123528213729</v>
      </c>
      <c r="C1314" s="5" t="s">
        <v>43</v>
      </c>
      <c r="D1314" s="5" t="s">
        <v>44</v>
      </c>
      <c r="E1314" s="5" t="str">
        <f>"张贝斯"</f>
        <v>张贝斯</v>
      </c>
      <c r="F1314" s="5" t="str">
        <f>"女"</f>
        <v>女</v>
      </c>
      <c r="G1314" s="5" t="str">
        <f>"1989-09-17"</f>
        <v>1989-09-17</v>
      </c>
      <c r="H1314" s="5" t="str">
        <f>"海南大学"</f>
        <v>海南大学</v>
      </c>
    </row>
    <row r="1315" s="2" customFormat="1" ht="20" customHeight="1" spans="1:8">
      <c r="A1315" s="5">
        <v>1313</v>
      </c>
      <c r="B1315" s="5" t="str">
        <f>"223220191126130343213799"</f>
        <v>223220191126130343213799</v>
      </c>
      <c r="C1315" s="5" t="s">
        <v>43</v>
      </c>
      <c r="D1315" s="5" t="s">
        <v>44</v>
      </c>
      <c r="E1315" s="5" t="str">
        <f>"夏莹"</f>
        <v>夏莹</v>
      </c>
      <c r="F1315" s="5" t="str">
        <f>"女"</f>
        <v>女</v>
      </c>
      <c r="G1315" s="5" t="str">
        <f>"1992-10-06"</f>
        <v>1992-10-06</v>
      </c>
      <c r="H1315" s="5" t="str">
        <f>"晋中学院"</f>
        <v>晋中学院</v>
      </c>
    </row>
    <row r="1316" s="2" customFormat="1" ht="20" customHeight="1" spans="1:8">
      <c r="A1316" s="5">
        <v>1314</v>
      </c>
      <c r="B1316" s="5" t="str">
        <f>"223220191126132846213837"</f>
        <v>223220191126132846213837</v>
      </c>
      <c r="C1316" s="5" t="s">
        <v>43</v>
      </c>
      <c r="D1316" s="5" t="s">
        <v>44</v>
      </c>
      <c r="E1316" s="5" t="str">
        <f>"符尚彬"</f>
        <v>符尚彬</v>
      </c>
      <c r="F1316" s="5" t="str">
        <f>"男"</f>
        <v>男</v>
      </c>
      <c r="G1316" s="5" t="str">
        <f>"1991-07-02"</f>
        <v>1991-07-02</v>
      </c>
      <c r="H1316" s="5" t="str">
        <f>"海南科技职业学院"</f>
        <v>海南科技职业学院</v>
      </c>
    </row>
    <row r="1317" s="2" customFormat="1" ht="20" customHeight="1" spans="1:8">
      <c r="A1317" s="5">
        <v>1315</v>
      </c>
      <c r="B1317" s="5" t="str">
        <f>"223220191126144758213978"</f>
        <v>223220191126144758213978</v>
      </c>
      <c r="C1317" s="5" t="s">
        <v>43</v>
      </c>
      <c r="D1317" s="5" t="s">
        <v>44</v>
      </c>
      <c r="E1317" s="5" t="str">
        <f>"周丽娟"</f>
        <v>周丽娟</v>
      </c>
      <c r="F1317" s="5" t="str">
        <f t="shared" ref="F1317:F1322" si="388">"女"</f>
        <v>女</v>
      </c>
      <c r="G1317" s="5" t="str">
        <f>"1990-02-19"</f>
        <v>1990-02-19</v>
      </c>
      <c r="H1317" s="5" t="str">
        <f>"大连工业大学"</f>
        <v>大连工业大学</v>
      </c>
    </row>
    <row r="1318" s="2" customFormat="1" ht="20" customHeight="1" spans="1:8">
      <c r="A1318" s="5">
        <v>1316</v>
      </c>
      <c r="B1318" s="5" t="str">
        <f>"223220191126151120214029"</f>
        <v>223220191126151120214029</v>
      </c>
      <c r="C1318" s="5" t="s">
        <v>43</v>
      </c>
      <c r="D1318" s="5" t="s">
        <v>44</v>
      </c>
      <c r="E1318" s="5" t="str">
        <f>"余滨芝"</f>
        <v>余滨芝</v>
      </c>
      <c r="F1318" s="5" t="str">
        <f t="shared" si="388"/>
        <v>女</v>
      </c>
      <c r="G1318" s="5" t="str">
        <f>"1993-10-08"</f>
        <v>1993-10-08</v>
      </c>
      <c r="H1318" s="5" t="str">
        <f>"广西民族大学"</f>
        <v>广西民族大学</v>
      </c>
    </row>
    <row r="1319" s="2" customFormat="1" ht="20" customHeight="1" spans="1:8">
      <c r="A1319" s="5">
        <v>1317</v>
      </c>
      <c r="B1319" s="5" t="str">
        <f>"223220191126151151214031"</f>
        <v>223220191126151151214031</v>
      </c>
      <c r="C1319" s="5" t="s">
        <v>43</v>
      </c>
      <c r="D1319" s="5" t="s">
        <v>44</v>
      </c>
      <c r="E1319" s="5" t="str">
        <f>"李子儒"</f>
        <v>李子儒</v>
      </c>
      <c r="F1319" s="5" t="str">
        <f t="shared" ref="F1319:F1325" si="389">"男"</f>
        <v>男</v>
      </c>
      <c r="G1319" s="5" t="str">
        <f>"1996-02-01"</f>
        <v>1996-02-01</v>
      </c>
      <c r="H1319" s="5" t="str">
        <f>"上海农林职业技术学院"</f>
        <v>上海农林职业技术学院</v>
      </c>
    </row>
    <row r="1320" s="2" customFormat="1" ht="20" customHeight="1" spans="1:8">
      <c r="A1320" s="5">
        <v>1318</v>
      </c>
      <c r="B1320" s="5" t="str">
        <f>"223220191126151522214039"</f>
        <v>223220191126151522214039</v>
      </c>
      <c r="C1320" s="5" t="s">
        <v>43</v>
      </c>
      <c r="D1320" s="5" t="s">
        <v>44</v>
      </c>
      <c r="E1320" s="5" t="str">
        <f>"冼家萍"</f>
        <v>冼家萍</v>
      </c>
      <c r="F1320" s="5" t="str">
        <f t="shared" ref="F1320:F1322" si="390">"女"</f>
        <v>女</v>
      </c>
      <c r="G1320" s="5" t="str">
        <f>"1994-12-20"</f>
        <v>1994-12-20</v>
      </c>
      <c r="H1320" s="5" t="str">
        <f>"广西财经学院"</f>
        <v>广西财经学院</v>
      </c>
    </row>
    <row r="1321" s="2" customFormat="1" ht="20" customHeight="1" spans="1:8">
      <c r="A1321" s="5">
        <v>1319</v>
      </c>
      <c r="B1321" s="5" t="str">
        <f>"223220191126151741214046"</f>
        <v>223220191126151741214046</v>
      </c>
      <c r="C1321" s="5" t="s">
        <v>43</v>
      </c>
      <c r="D1321" s="5" t="s">
        <v>44</v>
      </c>
      <c r="E1321" s="5" t="str">
        <f>"朱金姬"</f>
        <v>朱金姬</v>
      </c>
      <c r="F1321" s="5" t="str">
        <f t="shared" si="390"/>
        <v>女</v>
      </c>
      <c r="G1321" s="5" t="str">
        <f>"1992-05-22"</f>
        <v>1992-05-22</v>
      </c>
      <c r="H1321" s="5" t="str">
        <f>"琼州学院"</f>
        <v>琼州学院</v>
      </c>
    </row>
    <row r="1322" s="2" customFormat="1" ht="20" customHeight="1" spans="1:8">
      <c r="A1322" s="5">
        <v>1320</v>
      </c>
      <c r="B1322" s="5" t="str">
        <f>"223220191126155234214134"</f>
        <v>223220191126155234214134</v>
      </c>
      <c r="C1322" s="5" t="s">
        <v>43</v>
      </c>
      <c r="D1322" s="5" t="s">
        <v>44</v>
      </c>
      <c r="E1322" s="5" t="str">
        <f>"郑胜蓝"</f>
        <v>郑胜蓝</v>
      </c>
      <c r="F1322" s="5" t="str">
        <f t="shared" si="390"/>
        <v>女</v>
      </c>
      <c r="G1322" s="5" t="str">
        <f>"1995-02-23"</f>
        <v>1995-02-23</v>
      </c>
      <c r="H1322" s="5" t="str">
        <f>"海南热带海洋学院"</f>
        <v>海南热带海洋学院</v>
      </c>
    </row>
    <row r="1323" s="2" customFormat="1" ht="20" customHeight="1" spans="1:8">
      <c r="A1323" s="5">
        <v>1321</v>
      </c>
      <c r="B1323" s="5" t="str">
        <f>"223220191126161843214184"</f>
        <v>223220191126161843214184</v>
      </c>
      <c r="C1323" s="5" t="s">
        <v>43</v>
      </c>
      <c r="D1323" s="5" t="s">
        <v>44</v>
      </c>
      <c r="E1323" s="5" t="str">
        <f>"郑迪"</f>
        <v>郑迪</v>
      </c>
      <c r="F1323" s="5" t="str">
        <f t="shared" ref="F1323:F1325" si="391">"男"</f>
        <v>男</v>
      </c>
      <c r="G1323" s="5" t="str">
        <f>"1989-05-11"</f>
        <v>1989-05-11</v>
      </c>
      <c r="H1323" s="5" t="str">
        <f>"长沙航空职业技术学院"</f>
        <v>长沙航空职业技术学院</v>
      </c>
    </row>
    <row r="1324" s="2" customFormat="1" ht="20" customHeight="1" spans="1:8">
      <c r="A1324" s="5">
        <v>1322</v>
      </c>
      <c r="B1324" s="5" t="str">
        <f>"223220191126163128214209"</f>
        <v>223220191126163128214209</v>
      </c>
      <c r="C1324" s="5" t="s">
        <v>43</v>
      </c>
      <c r="D1324" s="5" t="s">
        <v>44</v>
      </c>
      <c r="E1324" s="5" t="str">
        <f>"许雪星"</f>
        <v>许雪星</v>
      </c>
      <c r="F1324" s="5" t="str">
        <f t="shared" si="391"/>
        <v>男</v>
      </c>
      <c r="G1324" s="5" t="str">
        <f>"1992-12-14"</f>
        <v>1992-12-14</v>
      </c>
      <c r="H1324" s="5" t="str">
        <f>"扬州环境资源职业技术学院"</f>
        <v>扬州环境资源职业技术学院</v>
      </c>
    </row>
    <row r="1325" s="2" customFormat="1" ht="20" customHeight="1" spans="1:8">
      <c r="A1325" s="5">
        <v>1323</v>
      </c>
      <c r="B1325" s="5" t="str">
        <f>"223220191126164655214274"</f>
        <v>223220191126164655214274</v>
      </c>
      <c r="C1325" s="5" t="s">
        <v>43</v>
      </c>
      <c r="D1325" s="5" t="s">
        <v>44</v>
      </c>
      <c r="E1325" s="5" t="str">
        <f>"洪应书"</f>
        <v>洪应书</v>
      </c>
      <c r="F1325" s="5" t="str">
        <f t="shared" si="391"/>
        <v>男</v>
      </c>
      <c r="G1325" s="5" t="str">
        <f>"1995-12-01"</f>
        <v>1995-12-01</v>
      </c>
      <c r="H1325" s="5" t="str">
        <f>"遵义医科大学珠海校区"</f>
        <v>遵义医科大学珠海校区</v>
      </c>
    </row>
    <row r="1326" s="2" customFormat="1" ht="20" customHeight="1" spans="1:8">
      <c r="A1326" s="5">
        <v>1324</v>
      </c>
      <c r="B1326" s="5" t="str">
        <f>"223220191126164824214280"</f>
        <v>223220191126164824214280</v>
      </c>
      <c r="C1326" s="5" t="s">
        <v>43</v>
      </c>
      <c r="D1326" s="5" t="s">
        <v>44</v>
      </c>
      <c r="E1326" s="5" t="str">
        <f>"邓丹丹"</f>
        <v>邓丹丹</v>
      </c>
      <c r="F1326" s="5" t="str">
        <f>"女"</f>
        <v>女</v>
      </c>
      <c r="G1326" s="5" t="str">
        <f>"1988-11-23"</f>
        <v>1988-11-23</v>
      </c>
      <c r="H1326" s="5" t="str">
        <f>"西北民族大学"</f>
        <v>西北民族大学</v>
      </c>
    </row>
    <row r="1327" s="2" customFormat="1" ht="20" customHeight="1" spans="1:8">
      <c r="A1327" s="5">
        <v>1325</v>
      </c>
      <c r="B1327" s="5" t="str">
        <f>"223220191126165106214288"</f>
        <v>223220191126165106214288</v>
      </c>
      <c r="C1327" s="5" t="s">
        <v>43</v>
      </c>
      <c r="D1327" s="5" t="s">
        <v>44</v>
      </c>
      <c r="E1327" s="5" t="str">
        <f>"李发登"</f>
        <v>李发登</v>
      </c>
      <c r="F1327" s="5" t="str">
        <f t="shared" ref="F1327:F1330" si="392">"男"</f>
        <v>男</v>
      </c>
      <c r="G1327" s="5" t="str">
        <f>"1991-04-07"</f>
        <v>1991-04-07</v>
      </c>
      <c r="H1327" s="5" t="str">
        <f>"华北理工大学"</f>
        <v>华北理工大学</v>
      </c>
    </row>
    <row r="1328" s="2" customFormat="1" ht="20" customHeight="1" spans="1:8">
      <c r="A1328" s="5">
        <v>1326</v>
      </c>
      <c r="B1328" s="5" t="str">
        <f>"223220191126165524214293"</f>
        <v>223220191126165524214293</v>
      </c>
      <c r="C1328" s="5" t="s">
        <v>43</v>
      </c>
      <c r="D1328" s="5" t="s">
        <v>44</v>
      </c>
      <c r="E1328" s="5" t="str">
        <f>"李梅"</f>
        <v>李梅</v>
      </c>
      <c r="F1328" s="5" t="str">
        <f>"女"</f>
        <v>女</v>
      </c>
      <c r="G1328" s="5" t="str">
        <f>"1994-12-15"</f>
        <v>1994-12-15</v>
      </c>
      <c r="H1328" s="5" t="str">
        <f>"湖南涉外经济学院"</f>
        <v>湖南涉外经济学院</v>
      </c>
    </row>
    <row r="1329" s="2" customFormat="1" ht="20" customHeight="1" spans="1:8">
      <c r="A1329" s="5">
        <v>1327</v>
      </c>
      <c r="B1329" s="5" t="str">
        <f>"223220191126165624214294"</f>
        <v>223220191126165624214294</v>
      </c>
      <c r="C1329" s="5" t="s">
        <v>43</v>
      </c>
      <c r="D1329" s="5" t="s">
        <v>44</v>
      </c>
      <c r="E1329" s="5" t="str">
        <f>"胡绍明"</f>
        <v>胡绍明</v>
      </c>
      <c r="F1329" s="5" t="str">
        <f>"男"</f>
        <v>男</v>
      </c>
      <c r="G1329" s="5" t="str">
        <f>"1993-04-19"</f>
        <v>1993-04-19</v>
      </c>
      <c r="H1329" s="5" t="str">
        <f>"四川大学锦江学院"</f>
        <v>四川大学锦江学院</v>
      </c>
    </row>
    <row r="1330" s="2" customFormat="1" ht="20" customHeight="1" spans="1:8">
      <c r="A1330" s="5">
        <v>1328</v>
      </c>
      <c r="B1330" s="5" t="str">
        <f>"223220191126172516214350"</f>
        <v>223220191126172516214350</v>
      </c>
      <c r="C1330" s="5" t="s">
        <v>43</v>
      </c>
      <c r="D1330" s="5" t="s">
        <v>44</v>
      </c>
      <c r="E1330" s="5" t="str">
        <f>"杨坚"</f>
        <v>杨坚</v>
      </c>
      <c r="F1330" s="5" t="str">
        <f>"男"</f>
        <v>男</v>
      </c>
      <c r="G1330" s="5" t="str">
        <f>"1991-08-07"</f>
        <v>1991-08-07</v>
      </c>
      <c r="H1330" s="5" t="str">
        <f>"海南大学"</f>
        <v>海南大学</v>
      </c>
    </row>
    <row r="1331" s="2" customFormat="1" ht="20" customHeight="1" spans="1:8">
      <c r="A1331" s="5">
        <v>1329</v>
      </c>
      <c r="B1331" s="5" t="str">
        <f>"223220191126181103214438"</f>
        <v>223220191126181103214438</v>
      </c>
      <c r="C1331" s="5" t="s">
        <v>43</v>
      </c>
      <c r="D1331" s="5" t="s">
        <v>44</v>
      </c>
      <c r="E1331" s="5" t="str">
        <f>"符亮梅"</f>
        <v>符亮梅</v>
      </c>
      <c r="F1331" s="5" t="str">
        <f t="shared" ref="F1331:F1337" si="393">"女"</f>
        <v>女</v>
      </c>
      <c r="G1331" s="5" t="str">
        <f>"1996-10-21"</f>
        <v>1996-10-21</v>
      </c>
      <c r="H1331" s="5" t="str">
        <f>"海南经贸职业技术学院"</f>
        <v>海南经贸职业技术学院</v>
      </c>
    </row>
    <row r="1332" s="2" customFormat="1" ht="20" customHeight="1" spans="1:8">
      <c r="A1332" s="5">
        <v>1330</v>
      </c>
      <c r="B1332" s="5" t="str">
        <f>"223220191126182225214459"</f>
        <v>223220191126182225214459</v>
      </c>
      <c r="C1332" s="5" t="s">
        <v>43</v>
      </c>
      <c r="D1332" s="5" t="s">
        <v>44</v>
      </c>
      <c r="E1332" s="5" t="str">
        <f>"吴媛皎"</f>
        <v>吴媛皎</v>
      </c>
      <c r="F1332" s="5" t="str">
        <f t="shared" si="393"/>
        <v>女</v>
      </c>
      <c r="G1332" s="5" t="str">
        <f>"1997-10-01"</f>
        <v>1997-10-01</v>
      </c>
      <c r="H1332" s="5" t="str">
        <f>"琼台师范学院"</f>
        <v>琼台师范学院</v>
      </c>
    </row>
    <row r="1333" s="2" customFormat="1" ht="20" customHeight="1" spans="1:8">
      <c r="A1333" s="5">
        <v>1331</v>
      </c>
      <c r="B1333" s="5" t="str">
        <f>"223220191126193016214552"</f>
        <v>223220191126193016214552</v>
      </c>
      <c r="C1333" s="5" t="s">
        <v>43</v>
      </c>
      <c r="D1333" s="5" t="s">
        <v>44</v>
      </c>
      <c r="E1333" s="5" t="str">
        <f>"陈长娇"</f>
        <v>陈长娇</v>
      </c>
      <c r="F1333" s="5" t="str">
        <f t="shared" si="393"/>
        <v>女</v>
      </c>
      <c r="G1333" s="5" t="str">
        <f>"1989-10-13"</f>
        <v>1989-10-13</v>
      </c>
      <c r="H1333" s="5" t="str">
        <f>"南昌大学"</f>
        <v>南昌大学</v>
      </c>
    </row>
    <row r="1334" s="2" customFormat="1" ht="20" customHeight="1" spans="1:8">
      <c r="A1334" s="5">
        <v>1332</v>
      </c>
      <c r="B1334" s="5" t="str">
        <f>"223220191126193436214561"</f>
        <v>223220191126193436214561</v>
      </c>
      <c r="C1334" s="5" t="s">
        <v>43</v>
      </c>
      <c r="D1334" s="5" t="s">
        <v>44</v>
      </c>
      <c r="E1334" s="5" t="str">
        <f>"陈彩兰"</f>
        <v>陈彩兰</v>
      </c>
      <c r="F1334" s="5" t="str">
        <f t="shared" si="393"/>
        <v>女</v>
      </c>
      <c r="G1334" s="5" t="str">
        <f>"1996-08-06"</f>
        <v>1996-08-06</v>
      </c>
      <c r="H1334" s="5" t="str">
        <f>"辽宁对外经贸学院"</f>
        <v>辽宁对外经贸学院</v>
      </c>
    </row>
    <row r="1335" s="2" customFormat="1" ht="20" customHeight="1" spans="1:8">
      <c r="A1335" s="5">
        <v>1333</v>
      </c>
      <c r="B1335" s="5" t="str">
        <f>"223220191126200227214611"</f>
        <v>223220191126200227214611</v>
      </c>
      <c r="C1335" s="5" t="s">
        <v>43</v>
      </c>
      <c r="D1335" s="5" t="s">
        <v>44</v>
      </c>
      <c r="E1335" s="5" t="str">
        <f>"黄莉莹"</f>
        <v>黄莉莹</v>
      </c>
      <c r="F1335" s="5" t="str">
        <f t="shared" si="393"/>
        <v>女</v>
      </c>
      <c r="G1335" s="5" t="str">
        <f>"1990-04-05"</f>
        <v>1990-04-05</v>
      </c>
      <c r="H1335" s="5" t="str">
        <f>"琼台师范高等专科学校"</f>
        <v>琼台师范高等专科学校</v>
      </c>
    </row>
    <row r="1336" s="2" customFormat="1" ht="20" customHeight="1" spans="1:8">
      <c r="A1336" s="5">
        <v>1334</v>
      </c>
      <c r="B1336" s="5" t="str">
        <f>"223220191126200309214612"</f>
        <v>223220191126200309214612</v>
      </c>
      <c r="C1336" s="5" t="s">
        <v>43</v>
      </c>
      <c r="D1336" s="5" t="s">
        <v>44</v>
      </c>
      <c r="E1336" s="5" t="str">
        <f>"李成曼"</f>
        <v>李成曼</v>
      </c>
      <c r="F1336" s="5" t="str">
        <f t="shared" si="393"/>
        <v>女</v>
      </c>
      <c r="G1336" s="5" t="str">
        <f>"1998-02-23"</f>
        <v>1998-02-23</v>
      </c>
      <c r="H1336" s="5" t="str">
        <f>"贵州师范学院"</f>
        <v>贵州师范学院</v>
      </c>
    </row>
    <row r="1337" s="2" customFormat="1" ht="20" customHeight="1" spans="1:8">
      <c r="A1337" s="5">
        <v>1335</v>
      </c>
      <c r="B1337" s="5" t="str">
        <f>"223220191126200329214615"</f>
        <v>223220191126200329214615</v>
      </c>
      <c r="C1337" s="5" t="s">
        <v>43</v>
      </c>
      <c r="D1337" s="5" t="s">
        <v>44</v>
      </c>
      <c r="E1337" s="5" t="str">
        <f>"符秀菊"</f>
        <v>符秀菊</v>
      </c>
      <c r="F1337" s="5" t="str">
        <f t="shared" si="393"/>
        <v>女</v>
      </c>
      <c r="G1337" s="5" t="str">
        <f>"1994-12-05"</f>
        <v>1994-12-05</v>
      </c>
      <c r="H1337" s="5" t="str">
        <f>"海南热带海洋学院"</f>
        <v>海南热带海洋学院</v>
      </c>
    </row>
    <row r="1338" s="2" customFormat="1" ht="20" customHeight="1" spans="1:8">
      <c r="A1338" s="5">
        <v>1336</v>
      </c>
      <c r="B1338" s="5" t="str">
        <f>"223220191126203227214664"</f>
        <v>223220191126203227214664</v>
      </c>
      <c r="C1338" s="5" t="s">
        <v>43</v>
      </c>
      <c r="D1338" s="5" t="s">
        <v>44</v>
      </c>
      <c r="E1338" s="5" t="str">
        <f>"陈威霖"</f>
        <v>陈威霖</v>
      </c>
      <c r="F1338" s="5" t="str">
        <f t="shared" ref="F1338:F1341" si="394">"男"</f>
        <v>男</v>
      </c>
      <c r="G1338" s="5" t="str">
        <f>"1993-09-03"</f>
        <v>1993-09-03</v>
      </c>
      <c r="H1338" s="5" t="str">
        <f>"海南省琼州学院"</f>
        <v>海南省琼州学院</v>
      </c>
    </row>
    <row r="1339" s="2" customFormat="1" ht="20" customHeight="1" spans="1:8">
      <c r="A1339" s="5">
        <v>1337</v>
      </c>
      <c r="B1339" s="5" t="str">
        <f>"223220191126204951214703"</f>
        <v>223220191126204951214703</v>
      </c>
      <c r="C1339" s="5" t="s">
        <v>43</v>
      </c>
      <c r="D1339" s="5" t="s">
        <v>44</v>
      </c>
      <c r="E1339" s="5" t="str">
        <f>"余秋雨"</f>
        <v>余秋雨</v>
      </c>
      <c r="F1339" s="5" t="str">
        <f>"女"</f>
        <v>女</v>
      </c>
      <c r="G1339" s="5" t="str">
        <f>"1993-05-17"</f>
        <v>1993-05-17</v>
      </c>
      <c r="H1339" s="5" t="str">
        <f>"内蒙古师范大学"</f>
        <v>内蒙古师范大学</v>
      </c>
    </row>
    <row r="1340" s="2" customFormat="1" ht="20" customHeight="1" spans="1:8">
      <c r="A1340" s="5">
        <v>1338</v>
      </c>
      <c r="B1340" s="5" t="str">
        <f>"223220191126205800214719"</f>
        <v>223220191126205800214719</v>
      </c>
      <c r="C1340" s="5" t="s">
        <v>43</v>
      </c>
      <c r="D1340" s="5" t="s">
        <v>44</v>
      </c>
      <c r="E1340" s="5" t="str">
        <f>"羊海鹏"</f>
        <v>羊海鹏</v>
      </c>
      <c r="F1340" s="5" t="str">
        <f t="shared" ref="F1340:F1344" si="395">"男"</f>
        <v>男</v>
      </c>
      <c r="G1340" s="5" t="str">
        <f>"1987-10-13"</f>
        <v>1987-10-13</v>
      </c>
      <c r="H1340" s="5" t="str">
        <f>"湖南机电职业技术学院"</f>
        <v>湖南机电职业技术学院</v>
      </c>
    </row>
    <row r="1341" s="2" customFormat="1" ht="20" customHeight="1" spans="1:8">
      <c r="A1341" s="5">
        <v>1339</v>
      </c>
      <c r="B1341" s="5" t="str">
        <f>"223220191126210904214741"</f>
        <v>223220191126210904214741</v>
      </c>
      <c r="C1341" s="5" t="s">
        <v>43</v>
      </c>
      <c r="D1341" s="5" t="s">
        <v>44</v>
      </c>
      <c r="E1341" s="5" t="str">
        <f>"羊金烁"</f>
        <v>羊金烁</v>
      </c>
      <c r="F1341" s="5" t="str">
        <f t="shared" si="395"/>
        <v>男</v>
      </c>
      <c r="G1341" s="5" t="str">
        <f>"1987-02-27"</f>
        <v>1987-02-27</v>
      </c>
      <c r="H1341" s="5" t="str">
        <f>"琼州学院"</f>
        <v>琼州学院</v>
      </c>
    </row>
    <row r="1342" s="2" customFormat="1" ht="20" customHeight="1" spans="1:8">
      <c r="A1342" s="5">
        <v>1340</v>
      </c>
      <c r="B1342" s="5" t="str">
        <f>"223220191126211454214749"</f>
        <v>223220191126211454214749</v>
      </c>
      <c r="C1342" s="5" t="s">
        <v>43</v>
      </c>
      <c r="D1342" s="5" t="s">
        <v>44</v>
      </c>
      <c r="E1342" s="5" t="str">
        <f>"徐月娟"</f>
        <v>徐月娟</v>
      </c>
      <c r="F1342" s="5" t="str">
        <f t="shared" ref="F1342:F1349" si="396">"女"</f>
        <v>女</v>
      </c>
      <c r="G1342" s="5" t="str">
        <f>"1998-09-27"</f>
        <v>1998-09-27</v>
      </c>
      <c r="H1342" s="5" t="str">
        <f>"海南热带海洋学院"</f>
        <v>海南热带海洋学院</v>
      </c>
    </row>
    <row r="1343" s="2" customFormat="1" ht="20" customHeight="1" spans="1:8">
      <c r="A1343" s="5">
        <v>1341</v>
      </c>
      <c r="B1343" s="5" t="str">
        <f>"223220191126213214214780"</f>
        <v>223220191126213214214780</v>
      </c>
      <c r="C1343" s="5" t="s">
        <v>43</v>
      </c>
      <c r="D1343" s="5" t="s">
        <v>44</v>
      </c>
      <c r="E1343" s="5" t="str">
        <f>"谢春浩"</f>
        <v>谢春浩</v>
      </c>
      <c r="F1343" s="5" t="str">
        <f>"男"</f>
        <v>男</v>
      </c>
      <c r="G1343" s="5" t="str">
        <f>"1992-02-22"</f>
        <v>1992-02-22</v>
      </c>
      <c r="H1343" s="5" t="str">
        <f>"陕西省咸阳市邮电职业技术学院"</f>
        <v>陕西省咸阳市邮电职业技术学院</v>
      </c>
    </row>
    <row r="1344" s="2" customFormat="1" ht="20" customHeight="1" spans="1:8">
      <c r="A1344" s="5">
        <v>1342</v>
      </c>
      <c r="B1344" s="5" t="str">
        <f>"223220191126221113214845"</f>
        <v>223220191126221113214845</v>
      </c>
      <c r="C1344" s="5" t="s">
        <v>43</v>
      </c>
      <c r="D1344" s="5" t="s">
        <v>44</v>
      </c>
      <c r="E1344" s="5" t="str">
        <f>"郑雪全"</f>
        <v>郑雪全</v>
      </c>
      <c r="F1344" s="5" t="str">
        <f>"男"</f>
        <v>男</v>
      </c>
      <c r="G1344" s="5" t="str">
        <f>"1991-04-29"</f>
        <v>1991-04-29</v>
      </c>
      <c r="H1344" s="5" t="str">
        <f>"海南政法职业学院"</f>
        <v>海南政法职业学院</v>
      </c>
    </row>
    <row r="1345" s="2" customFormat="1" ht="20" customHeight="1" spans="1:8">
      <c r="A1345" s="5">
        <v>1343</v>
      </c>
      <c r="B1345" s="5" t="str">
        <f>"223220191126222141214869"</f>
        <v>223220191126222141214869</v>
      </c>
      <c r="C1345" s="5" t="s">
        <v>43</v>
      </c>
      <c r="D1345" s="5" t="s">
        <v>44</v>
      </c>
      <c r="E1345" s="5" t="str">
        <f>"莫丽娥"</f>
        <v>莫丽娥</v>
      </c>
      <c r="F1345" s="5" t="str">
        <f t="shared" ref="F1345:F1349" si="397">"女"</f>
        <v>女</v>
      </c>
      <c r="G1345" s="5" t="str">
        <f>"1993-09-17"</f>
        <v>1993-09-17</v>
      </c>
      <c r="H1345" s="5" t="str">
        <f>"海南大学"</f>
        <v>海南大学</v>
      </c>
    </row>
    <row r="1346" s="2" customFormat="1" ht="20" customHeight="1" spans="1:8">
      <c r="A1346" s="5">
        <v>1344</v>
      </c>
      <c r="B1346" s="5" t="str">
        <f>"223220191126224735214908"</f>
        <v>223220191126224735214908</v>
      </c>
      <c r="C1346" s="5" t="s">
        <v>43</v>
      </c>
      <c r="D1346" s="5" t="s">
        <v>44</v>
      </c>
      <c r="E1346" s="5" t="str">
        <f>"黄世莲"</f>
        <v>黄世莲</v>
      </c>
      <c r="F1346" s="5" t="str">
        <f t="shared" si="397"/>
        <v>女</v>
      </c>
      <c r="G1346" s="5" t="str">
        <f>"1998-09-28"</f>
        <v>1998-09-28</v>
      </c>
      <c r="H1346" s="5" t="str">
        <f>"南京师范大学泰州学院"</f>
        <v>南京师范大学泰州学院</v>
      </c>
    </row>
    <row r="1347" s="2" customFormat="1" ht="20" customHeight="1" spans="1:8">
      <c r="A1347" s="5">
        <v>1345</v>
      </c>
      <c r="B1347" s="5" t="str">
        <f>"223220191126224857214909"</f>
        <v>223220191126224857214909</v>
      </c>
      <c r="C1347" s="5" t="s">
        <v>43</v>
      </c>
      <c r="D1347" s="5" t="s">
        <v>44</v>
      </c>
      <c r="E1347" s="5" t="str">
        <f>"张兰坤"</f>
        <v>张兰坤</v>
      </c>
      <c r="F1347" s="5" t="str">
        <f t="shared" si="397"/>
        <v>女</v>
      </c>
      <c r="G1347" s="5" t="str">
        <f>"1989-04-15"</f>
        <v>1989-04-15</v>
      </c>
      <c r="H1347" s="5" t="str">
        <f>"石家庄外国语职业技术学院"</f>
        <v>石家庄外国语职业技术学院</v>
      </c>
    </row>
    <row r="1348" s="2" customFormat="1" ht="20" customHeight="1" spans="1:8">
      <c r="A1348" s="5">
        <v>1346</v>
      </c>
      <c r="B1348" s="5" t="str">
        <f>"223220191126231304214929"</f>
        <v>223220191126231304214929</v>
      </c>
      <c r="C1348" s="5" t="s">
        <v>43</v>
      </c>
      <c r="D1348" s="5" t="s">
        <v>44</v>
      </c>
      <c r="E1348" s="5" t="str">
        <f>"黎景芳"</f>
        <v>黎景芳</v>
      </c>
      <c r="F1348" s="5" t="str">
        <f t="shared" si="397"/>
        <v>女</v>
      </c>
      <c r="G1348" s="5" t="str">
        <f>"1993-10-13"</f>
        <v>1993-10-13</v>
      </c>
      <c r="H1348" s="5" t="str">
        <f>"海南科技职业大学"</f>
        <v>海南科技职业大学</v>
      </c>
    </row>
    <row r="1349" s="2" customFormat="1" ht="20" customHeight="1" spans="1:8">
      <c r="A1349" s="5">
        <v>1347</v>
      </c>
      <c r="B1349" s="5" t="str">
        <f>"223220191127080522214992"</f>
        <v>223220191127080522214992</v>
      </c>
      <c r="C1349" s="5" t="s">
        <v>43</v>
      </c>
      <c r="D1349" s="5" t="s">
        <v>44</v>
      </c>
      <c r="E1349" s="5" t="str">
        <f>"李维玲"</f>
        <v>李维玲</v>
      </c>
      <c r="F1349" s="5" t="str">
        <f t="shared" si="397"/>
        <v>女</v>
      </c>
      <c r="G1349" s="5" t="str">
        <f>"1990-11-24"</f>
        <v>1990-11-24</v>
      </c>
      <c r="H1349" s="5" t="str">
        <f>"运城学院"</f>
        <v>运城学院</v>
      </c>
    </row>
    <row r="1350" s="2" customFormat="1" ht="20" customHeight="1" spans="1:8">
      <c r="A1350" s="5">
        <v>1348</v>
      </c>
      <c r="B1350" s="5" t="str">
        <f>"223220191127091054215079"</f>
        <v>223220191127091054215079</v>
      </c>
      <c r="C1350" s="5" t="s">
        <v>43</v>
      </c>
      <c r="D1350" s="5" t="s">
        <v>44</v>
      </c>
      <c r="E1350" s="5" t="str">
        <f>"羊露"</f>
        <v>羊露</v>
      </c>
      <c r="F1350" s="5" t="str">
        <f t="shared" ref="F1350:F1357" si="398">"男"</f>
        <v>男</v>
      </c>
      <c r="G1350" s="5" t="str">
        <f>"1988-01-25"</f>
        <v>1988-01-25</v>
      </c>
      <c r="H1350" s="5" t="str">
        <f>"海南工商职业学院"</f>
        <v>海南工商职业学院</v>
      </c>
    </row>
    <row r="1351" s="2" customFormat="1" ht="20" customHeight="1" spans="1:8">
      <c r="A1351" s="5">
        <v>1349</v>
      </c>
      <c r="B1351" s="5" t="str">
        <f>"223220191127093449215125"</f>
        <v>223220191127093449215125</v>
      </c>
      <c r="C1351" s="5" t="s">
        <v>43</v>
      </c>
      <c r="D1351" s="5" t="s">
        <v>44</v>
      </c>
      <c r="E1351" s="5" t="str">
        <f>"叶卓芳"</f>
        <v>叶卓芳</v>
      </c>
      <c r="F1351" s="5" t="str">
        <f t="shared" ref="F1351:F1354" si="399">"女"</f>
        <v>女</v>
      </c>
      <c r="G1351" s="5" t="str">
        <f>"1989-03-06"</f>
        <v>1989-03-06</v>
      </c>
      <c r="H1351" s="5" t="str">
        <f>"海南师范大学"</f>
        <v>海南师范大学</v>
      </c>
    </row>
    <row r="1352" s="2" customFormat="1" ht="20" customHeight="1" spans="1:8">
      <c r="A1352" s="5">
        <v>1350</v>
      </c>
      <c r="B1352" s="5" t="str">
        <f>"223220191127100923215184"</f>
        <v>223220191127100923215184</v>
      </c>
      <c r="C1352" s="5" t="s">
        <v>43</v>
      </c>
      <c r="D1352" s="5" t="s">
        <v>44</v>
      </c>
      <c r="E1352" s="5" t="str">
        <f>"李儒贤"</f>
        <v>李儒贤</v>
      </c>
      <c r="F1352" s="5" t="str">
        <f t="shared" ref="F1352:F1357" si="400">"男"</f>
        <v>男</v>
      </c>
      <c r="G1352" s="5" t="str">
        <f>"1995-10-28"</f>
        <v>1995-10-28</v>
      </c>
      <c r="H1352" s="5" t="str">
        <f>"福建农林大学"</f>
        <v>福建农林大学</v>
      </c>
    </row>
    <row r="1353" s="2" customFormat="1" ht="20" customHeight="1" spans="1:8">
      <c r="A1353" s="5">
        <v>1351</v>
      </c>
      <c r="B1353" s="5" t="str">
        <f>"223220191127102511215206"</f>
        <v>223220191127102511215206</v>
      </c>
      <c r="C1353" s="5" t="s">
        <v>43</v>
      </c>
      <c r="D1353" s="5" t="s">
        <v>44</v>
      </c>
      <c r="E1353" s="5" t="str">
        <f>"黄春菲"</f>
        <v>黄春菲</v>
      </c>
      <c r="F1353" s="5" t="str">
        <f>"女"</f>
        <v>女</v>
      </c>
      <c r="G1353" s="5" t="str">
        <f>"1986-02-20"</f>
        <v>1986-02-20</v>
      </c>
      <c r="H1353" s="5" t="str">
        <f>"广西城市职业学院"</f>
        <v>广西城市职业学院</v>
      </c>
    </row>
    <row r="1354" s="2" customFormat="1" ht="20" customHeight="1" spans="1:8">
      <c r="A1354" s="5">
        <v>1352</v>
      </c>
      <c r="B1354" s="5" t="str">
        <f>"223220191127103353215223"</f>
        <v>223220191127103353215223</v>
      </c>
      <c r="C1354" s="5" t="s">
        <v>43</v>
      </c>
      <c r="D1354" s="5" t="s">
        <v>44</v>
      </c>
      <c r="E1354" s="5" t="str">
        <f>"李秋燕"</f>
        <v>李秋燕</v>
      </c>
      <c r="F1354" s="5" t="str">
        <f>"女"</f>
        <v>女</v>
      </c>
      <c r="G1354" s="5" t="str">
        <f>"1987-09-28"</f>
        <v>1987-09-28</v>
      </c>
      <c r="H1354" s="5" t="str">
        <f>"西北民族大学"</f>
        <v>西北民族大学</v>
      </c>
    </row>
    <row r="1355" s="2" customFormat="1" ht="20" customHeight="1" spans="1:8">
      <c r="A1355" s="5">
        <v>1353</v>
      </c>
      <c r="B1355" s="5" t="str">
        <f>"223220191127111026215279"</f>
        <v>223220191127111026215279</v>
      </c>
      <c r="C1355" s="5" t="s">
        <v>43</v>
      </c>
      <c r="D1355" s="5" t="s">
        <v>44</v>
      </c>
      <c r="E1355" s="5" t="str">
        <f>"韦茂杰"</f>
        <v>韦茂杰</v>
      </c>
      <c r="F1355" s="5" t="str">
        <f>"男"</f>
        <v>男</v>
      </c>
      <c r="G1355" s="5" t="str">
        <f>"1996-07-06"</f>
        <v>1996-07-06</v>
      </c>
      <c r="H1355" s="5" t="str">
        <f>"海南工商职业学院"</f>
        <v>海南工商职业学院</v>
      </c>
    </row>
    <row r="1356" s="2" customFormat="1" ht="20" customHeight="1" spans="1:8">
      <c r="A1356" s="5">
        <v>1354</v>
      </c>
      <c r="B1356" s="5" t="str">
        <f>"223220191127111704215290"</f>
        <v>223220191127111704215290</v>
      </c>
      <c r="C1356" s="5" t="s">
        <v>43</v>
      </c>
      <c r="D1356" s="5" t="s">
        <v>44</v>
      </c>
      <c r="E1356" s="5" t="str">
        <f>"黄志刚"</f>
        <v>黄志刚</v>
      </c>
      <c r="F1356" s="5" t="str">
        <f>"男"</f>
        <v>男</v>
      </c>
      <c r="G1356" s="5" t="str">
        <f>"1986-11-10"</f>
        <v>1986-11-10</v>
      </c>
      <c r="H1356" s="5" t="str">
        <f>"北京林业大学"</f>
        <v>北京林业大学</v>
      </c>
    </row>
    <row r="1357" s="2" customFormat="1" ht="20" customHeight="1" spans="1:8">
      <c r="A1357" s="5">
        <v>1355</v>
      </c>
      <c r="B1357" s="5" t="str">
        <f>"223220191127113711215324"</f>
        <v>223220191127113711215324</v>
      </c>
      <c r="C1357" s="5" t="s">
        <v>43</v>
      </c>
      <c r="D1357" s="5" t="s">
        <v>44</v>
      </c>
      <c r="E1357" s="5" t="str">
        <f>"符学鹏"</f>
        <v>符学鹏</v>
      </c>
      <c r="F1357" s="5" t="str">
        <f>"男"</f>
        <v>男</v>
      </c>
      <c r="G1357" s="5" t="str">
        <f>"1991-02-02"</f>
        <v>1991-02-02</v>
      </c>
      <c r="H1357" s="5" t="str">
        <f>"泉州理工职业学院"</f>
        <v>泉州理工职业学院</v>
      </c>
    </row>
    <row r="1358" s="2" customFormat="1" ht="20" customHeight="1" spans="1:8">
      <c r="A1358" s="5">
        <v>1356</v>
      </c>
      <c r="B1358" s="5" t="str">
        <f>"223220191127113722215326"</f>
        <v>223220191127113722215326</v>
      </c>
      <c r="C1358" s="5" t="s">
        <v>43</v>
      </c>
      <c r="D1358" s="5" t="s">
        <v>44</v>
      </c>
      <c r="E1358" s="5" t="str">
        <f>"陈德嫒"</f>
        <v>陈德嫒</v>
      </c>
      <c r="F1358" s="5" t="str">
        <f t="shared" ref="F1358:F1360" si="401">"女"</f>
        <v>女</v>
      </c>
      <c r="G1358" s="5" t="str">
        <f>"1990-06-17"</f>
        <v>1990-06-17</v>
      </c>
      <c r="H1358" s="5" t="str">
        <f>"琼州学院"</f>
        <v>琼州学院</v>
      </c>
    </row>
    <row r="1359" s="2" customFormat="1" ht="20" customHeight="1" spans="1:8">
      <c r="A1359" s="5">
        <v>1357</v>
      </c>
      <c r="B1359" s="5" t="str">
        <f>"223220191127114227215340"</f>
        <v>223220191127114227215340</v>
      </c>
      <c r="C1359" s="5" t="s">
        <v>43</v>
      </c>
      <c r="D1359" s="5" t="s">
        <v>44</v>
      </c>
      <c r="E1359" s="5" t="str">
        <f>"林艳"</f>
        <v>林艳</v>
      </c>
      <c r="F1359" s="5" t="str">
        <f t="shared" si="401"/>
        <v>女</v>
      </c>
      <c r="G1359" s="5" t="str">
        <f>"1995-12-12"</f>
        <v>1995-12-12</v>
      </c>
      <c r="H1359" s="5" t="str">
        <f>"齐鲁医药学院"</f>
        <v>齐鲁医药学院</v>
      </c>
    </row>
    <row r="1360" s="2" customFormat="1" ht="20" customHeight="1" spans="1:8">
      <c r="A1360" s="5">
        <v>1358</v>
      </c>
      <c r="B1360" s="5" t="str">
        <f>"223220191127121337215381"</f>
        <v>223220191127121337215381</v>
      </c>
      <c r="C1360" s="5" t="s">
        <v>43</v>
      </c>
      <c r="D1360" s="5" t="s">
        <v>44</v>
      </c>
      <c r="E1360" s="5" t="str">
        <f>"张露蕾"</f>
        <v>张露蕾</v>
      </c>
      <c r="F1360" s="5" t="str">
        <f t="shared" si="401"/>
        <v>女</v>
      </c>
      <c r="G1360" s="5" t="str">
        <f>"1997-03-15"</f>
        <v>1997-03-15</v>
      </c>
      <c r="H1360" s="5" t="str">
        <f>"桂林理工大学"</f>
        <v>桂林理工大学</v>
      </c>
    </row>
    <row r="1361" s="2" customFormat="1" ht="20" customHeight="1" spans="1:8">
      <c r="A1361" s="5">
        <v>1359</v>
      </c>
      <c r="B1361" s="5" t="str">
        <f>"223220191127123020215405"</f>
        <v>223220191127123020215405</v>
      </c>
      <c r="C1361" s="5" t="s">
        <v>43</v>
      </c>
      <c r="D1361" s="5" t="s">
        <v>44</v>
      </c>
      <c r="E1361" s="5" t="str">
        <f>"陈承祥"</f>
        <v>陈承祥</v>
      </c>
      <c r="F1361" s="5" t="str">
        <f>"男"</f>
        <v>男</v>
      </c>
      <c r="G1361" s="5" t="str">
        <f>"1994-01-03"</f>
        <v>1994-01-03</v>
      </c>
      <c r="H1361" s="5" t="str">
        <f>"三亚航空旅游职业学院"</f>
        <v>三亚航空旅游职业学院</v>
      </c>
    </row>
    <row r="1362" s="2" customFormat="1" ht="20" customHeight="1" spans="1:8">
      <c r="A1362" s="5">
        <v>1360</v>
      </c>
      <c r="B1362" s="5" t="str">
        <f>"223220191127131108215461"</f>
        <v>223220191127131108215461</v>
      </c>
      <c r="C1362" s="5" t="s">
        <v>43</v>
      </c>
      <c r="D1362" s="5" t="s">
        <v>44</v>
      </c>
      <c r="E1362" s="5" t="str">
        <f>"李美风"</f>
        <v>李美风</v>
      </c>
      <c r="F1362" s="5" t="str">
        <f t="shared" ref="F1362:F1366" si="402">"女"</f>
        <v>女</v>
      </c>
      <c r="G1362" s="5" t="str">
        <f>"1990-09-12"</f>
        <v>1990-09-12</v>
      </c>
      <c r="H1362" s="5" t="str">
        <f>"鄂州职业大学"</f>
        <v>鄂州职业大学</v>
      </c>
    </row>
    <row r="1363" s="2" customFormat="1" ht="20" customHeight="1" spans="1:8">
      <c r="A1363" s="5">
        <v>1361</v>
      </c>
      <c r="B1363" s="5" t="str">
        <f>"223220191127132304215472"</f>
        <v>223220191127132304215472</v>
      </c>
      <c r="C1363" s="5" t="s">
        <v>43</v>
      </c>
      <c r="D1363" s="5" t="s">
        <v>44</v>
      </c>
      <c r="E1363" s="5" t="str">
        <f>"陈衍乾"</f>
        <v>陈衍乾</v>
      </c>
      <c r="F1363" s="5" t="str">
        <f t="shared" si="402"/>
        <v>女</v>
      </c>
      <c r="G1363" s="5" t="str">
        <f>"1989-07-29"</f>
        <v>1989-07-29</v>
      </c>
      <c r="H1363" s="5" t="str">
        <f>"琼台师范高等专科学校"</f>
        <v>琼台师范高等专科学校</v>
      </c>
    </row>
    <row r="1364" s="2" customFormat="1" ht="20" customHeight="1" spans="1:8">
      <c r="A1364" s="5">
        <v>1362</v>
      </c>
      <c r="B1364" s="5" t="str">
        <f>"223220191127133828215492"</f>
        <v>223220191127133828215492</v>
      </c>
      <c r="C1364" s="5" t="s">
        <v>43</v>
      </c>
      <c r="D1364" s="5" t="s">
        <v>44</v>
      </c>
      <c r="E1364" s="5" t="str">
        <f>"赵章秀"</f>
        <v>赵章秀</v>
      </c>
      <c r="F1364" s="5" t="str">
        <f t="shared" si="402"/>
        <v>女</v>
      </c>
      <c r="G1364" s="5" t="str">
        <f>"1993-08-16"</f>
        <v>1993-08-16</v>
      </c>
      <c r="H1364" s="5" t="str">
        <f>"烟台大学"</f>
        <v>烟台大学</v>
      </c>
    </row>
    <row r="1365" s="2" customFormat="1" ht="20" customHeight="1" spans="1:8">
      <c r="A1365" s="5">
        <v>1363</v>
      </c>
      <c r="B1365" s="5" t="str">
        <f>"223220191127134952215505"</f>
        <v>223220191127134952215505</v>
      </c>
      <c r="C1365" s="5" t="s">
        <v>43</v>
      </c>
      <c r="D1365" s="5" t="s">
        <v>44</v>
      </c>
      <c r="E1365" s="5" t="str">
        <f>"符晓容"</f>
        <v>符晓容</v>
      </c>
      <c r="F1365" s="5" t="str">
        <f t="shared" si="402"/>
        <v>女</v>
      </c>
      <c r="G1365" s="5" t="str">
        <f>"1996-12-22"</f>
        <v>1996-12-22</v>
      </c>
      <c r="H1365" s="5" t="str">
        <f>"琼台师范学院"</f>
        <v>琼台师范学院</v>
      </c>
    </row>
    <row r="1366" s="2" customFormat="1" ht="20" customHeight="1" spans="1:8">
      <c r="A1366" s="5">
        <v>1364</v>
      </c>
      <c r="B1366" s="5" t="str">
        <f>"223220191127150124215582"</f>
        <v>223220191127150124215582</v>
      </c>
      <c r="C1366" s="5" t="s">
        <v>43</v>
      </c>
      <c r="D1366" s="5" t="s">
        <v>44</v>
      </c>
      <c r="E1366" s="5" t="str">
        <f>"陈应间"</f>
        <v>陈应间</v>
      </c>
      <c r="F1366" s="5" t="str">
        <f t="shared" si="402"/>
        <v>女</v>
      </c>
      <c r="G1366" s="5" t="str">
        <f>"1993-03-05"</f>
        <v>1993-03-05</v>
      </c>
      <c r="H1366" s="5" t="str">
        <f>"海南热带海洋学院"</f>
        <v>海南热带海洋学院</v>
      </c>
    </row>
    <row r="1367" s="2" customFormat="1" ht="20" customHeight="1" spans="1:8">
      <c r="A1367" s="5">
        <v>1365</v>
      </c>
      <c r="B1367" s="5" t="str">
        <f>"223220191127153137215639"</f>
        <v>223220191127153137215639</v>
      </c>
      <c r="C1367" s="5" t="s">
        <v>43</v>
      </c>
      <c r="D1367" s="5" t="s">
        <v>44</v>
      </c>
      <c r="E1367" s="5" t="str">
        <f>"符宁邦"</f>
        <v>符宁邦</v>
      </c>
      <c r="F1367" s="5" t="str">
        <f>"男"</f>
        <v>男</v>
      </c>
      <c r="G1367" s="5" t="str">
        <f>"1988-06-16"</f>
        <v>1988-06-16</v>
      </c>
      <c r="H1367" s="5" t="str">
        <f>"海南经贸技术学院"</f>
        <v>海南经贸技术学院</v>
      </c>
    </row>
    <row r="1368" s="2" customFormat="1" ht="20" customHeight="1" spans="1:8">
      <c r="A1368" s="5">
        <v>1366</v>
      </c>
      <c r="B1368" s="5" t="str">
        <f>"223220191127161134215708"</f>
        <v>223220191127161134215708</v>
      </c>
      <c r="C1368" s="5" t="s">
        <v>43</v>
      </c>
      <c r="D1368" s="5" t="s">
        <v>44</v>
      </c>
      <c r="E1368" s="5" t="str">
        <f>"符有强"</f>
        <v>符有强</v>
      </c>
      <c r="F1368" s="5" t="str">
        <f>"男"</f>
        <v>男</v>
      </c>
      <c r="G1368" s="5" t="str">
        <f>"1991-02-17"</f>
        <v>1991-02-17</v>
      </c>
      <c r="H1368" s="5" t="str">
        <f>"北方民族大学"</f>
        <v>北方民族大学</v>
      </c>
    </row>
    <row r="1369" s="2" customFormat="1" ht="20" customHeight="1" spans="1:8">
      <c r="A1369" s="5">
        <v>1367</v>
      </c>
      <c r="B1369" s="5" t="str">
        <f>"223220191127161540215714"</f>
        <v>223220191127161540215714</v>
      </c>
      <c r="C1369" s="5" t="s">
        <v>43</v>
      </c>
      <c r="D1369" s="5" t="s">
        <v>44</v>
      </c>
      <c r="E1369" s="5" t="str">
        <f>"刘炎"</f>
        <v>刘炎</v>
      </c>
      <c r="F1369" s="5" t="str">
        <f t="shared" ref="F1369:F1372" si="403">"女"</f>
        <v>女</v>
      </c>
      <c r="G1369" s="5" t="str">
        <f>"1995-10-12"</f>
        <v>1995-10-12</v>
      </c>
      <c r="H1369" s="5" t="str">
        <f>"海南热带海洋学院"</f>
        <v>海南热带海洋学院</v>
      </c>
    </row>
    <row r="1370" s="2" customFormat="1" ht="20" customHeight="1" spans="1:8">
      <c r="A1370" s="5">
        <v>1368</v>
      </c>
      <c r="B1370" s="5" t="str">
        <f>"223220191127165522215785"</f>
        <v>223220191127165522215785</v>
      </c>
      <c r="C1370" s="5" t="s">
        <v>43</v>
      </c>
      <c r="D1370" s="5" t="s">
        <v>44</v>
      </c>
      <c r="E1370" s="5" t="str">
        <f>"李家妹"</f>
        <v>李家妹</v>
      </c>
      <c r="F1370" s="5" t="str">
        <f t="shared" si="403"/>
        <v>女</v>
      </c>
      <c r="G1370" s="5" t="str">
        <f>"1987-03-07"</f>
        <v>1987-03-07</v>
      </c>
      <c r="H1370" s="5" t="str">
        <f>"琼台师范高等专科学校"</f>
        <v>琼台师范高等专科学校</v>
      </c>
    </row>
    <row r="1371" s="2" customFormat="1" ht="20" customHeight="1" spans="1:8">
      <c r="A1371" s="5">
        <v>1369</v>
      </c>
      <c r="B1371" s="5" t="str">
        <f>"223220191127173808215846"</f>
        <v>223220191127173808215846</v>
      </c>
      <c r="C1371" s="5" t="s">
        <v>43</v>
      </c>
      <c r="D1371" s="5" t="s">
        <v>44</v>
      </c>
      <c r="E1371" s="5" t="str">
        <f>"李妹琼"</f>
        <v>李妹琼</v>
      </c>
      <c r="F1371" s="5" t="str">
        <f t="shared" si="403"/>
        <v>女</v>
      </c>
      <c r="G1371" s="5" t="str">
        <f>"1995-10-25"</f>
        <v>1995-10-25</v>
      </c>
      <c r="H1371" s="5" t="str">
        <f>"长沙民政职业技术学院"</f>
        <v>长沙民政职业技术学院</v>
      </c>
    </row>
    <row r="1372" s="2" customFormat="1" ht="20" customHeight="1" spans="1:8">
      <c r="A1372" s="5">
        <v>1370</v>
      </c>
      <c r="B1372" s="5" t="str">
        <f>"223220191127182240215894"</f>
        <v>223220191127182240215894</v>
      </c>
      <c r="C1372" s="5" t="s">
        <v>43</v>
      </c>
      <c r="D1372" s="5" t="s">
        <v>44</v>
      </c>
      <c r="E1372" s="5" t="str">
        <f>"侯千林"</f>
        <v>侯千林</v>
      </c>
      <c r="F1372" s="5" t="str">
        <f t="shared" si="403"/>
        <v>女</v>
      </c>
      <c r="G1372" s="5" t="str">
        <f>"1994-10-08"</f>
        <v>1994-10-08</v>
      </c>
      <c r="H1372" s="5" t="str">
        <f>"南宁学院"</f>
        <v>南宁学院</v>
      </c>
    </row>
    <row r="1373" s="2" customFormat="1" ht="20" customHeight="1" spans="1:8">
      <c r="A1373" s="5">
        <v>1371</v>
      </c>
      <c r="B1373" s="5" t="str">
        <f>"223220191127192103215946"</f>
        <v>223220191127192103215946</v>
      </c>
      <c r="C1373" s="5" t="s">
        <v>43</v>
      </c>
      <c r="D1373" s="5" t="s">
        <v>44</v>
      </c>
      <c r="E1373" s="5" t="str">
        <f>"李金水"</f>
        <v>李金水</v>
      </c>
      <c r="F1373" s="5" t="str">
        <f t="shared" ref="F1373:F1378" si="404">"男"</f>
        <v>男</v>
      </c>
      <c r="G1373" s="5" t="str">
        <f>"1994-04-15"</f>
        <v>1994-04-15</v>
      </c>
      <c r="H1373" s="5" t="str">
        <f>"江西师范大学"</f>
        <v>江西师范大学</v>
      </c>
    </row>
    <row r="1374" s="2" customFormat="1" ht="20" customHeight="1" spans="1:8">
      <c r="A1374" s="5">
        <v>1372</v>
      </c>
      <c r="B1374" s="5" t="str">
        <f>"223220191127194120215975"</f>
        <v>223220191127194120215975</v>
      </c>
      <c r="C1374" s="5" t="s">
        <v>43</v>
      </c>
      <c r="D1374" s="5" t="s">
        <v>44</v>
      </c>
      <c r="E1374" s="5" t="str">
        <f>"吴明悦"</f>
        <v>吴明悦</v>
      </c>
      <c r="F1374" s="5" t="str">
        <f t="shared" ref="F1374:F1377" si="405">"女"</f>
        <v>女</v>
      </c>
      <c r="G1374" s="5" t="str">
        <f>"1994-05-25"</f>
        <v>1994-05-25</v>
      </c>
      <c r="H1374" s="5" t="str">
        <f>"海南师范大学"</f>
        <v>海南师范大学</v>
      </c>
    </row>
    <row r="1375" s="2" customFormat="1" ht="20" customHeight="1" spans="1:8">
      <c r="A1375" s="5">
        <v>1373</v>
      </c>
      <c r="B1375" s="5" t="str">
        <f>"223220191127195523215993"</f>
        <v>223220191127195523215993</v>
      </c>
      <c r="C1375" s="5" t="s">
        <v>43</v>
      </c>
      <c r="D1375" s="5" t="s">
        <v>44</v>
      </c>
      <c r="E1375" s="5" t="str">
        <f>"高造武"</f>
        <v>高造武</v>
      </c>
      <c r="F1375" s="5" t="str">
        <f>"男"</f>
        <v>男</v>
      </c>
      <c r="G1375" s="5" t="str">
        <f>"1993-12-14"</f>
        <v>1993-12-14</v>
      </c>
      <c r="H1375" s="5" t="str">
        <f>"江西农业大学"</f>
        <v>江西农业大学</v>
      </c>
    </row>
    <row r="1376" s="2" customFormat="1" ht="20" customHeight="1" spans="1:8">
      <c r="A1376" s="5">
        <v>1374</v>
      </c>
      <c r="B1376" s="5" t="str">
        <f>"223220191127195544215994"</f>
        <v>223220191127195544215994</v>
      </c>
      <c r="C1376" s="5" t="s">
        <v>43</v>
      </c>
      <c r="D1376" s="5" t="s">
        <v>44</v>
      </c>
      <c r="E1376" s="5" t="str">
        <f>"陈丽"</f>
        <v>陈丽</v>
      </c>
      <c r="F1376" s="5" t="str">
        <f t="shared" ref="F1376:F1379" si="406">"女"</f>
        <v>女</v>
      </c>
      <c r="G1376" s="5" t="str">
        <f>"1986-12-01"</f>
        <v>1986-12-01</v>
      </c>
      <c r="H1376" s="5" t="str">
        <f>"吉林白城医学高等专科学校"</f>
        <v>吉林白城医学高等专科学校</v>
      </c>
    </row>
    <row r="1377" s="2" customFormat="1" ht="20" customHeight="1" spans="1:8">
      <c r="A1377" s="5">
        <v>1375</v>
      </c>
      <c r="B1377" s="5" t="str">
        <f>"223220191127201837216026"</f>
        <v>223220191127201837216026</v>
      </c>
      <c r="C1377" s="5" t="s">
        <v>43</v>
      </c>
      <c r="D1377" s="5" t="s">
        <v>44</v>
      </c>
      <c r="E1377" s="5" t="str">
        <f>"黄永明"</f>
        <v>黄永明</v>
      </c>
      <c r="F1377" s="5" t="str">
        <f t="shared" si="406"/>
        <v>女</v>
      </c>
      <c r="G1377" s="5" t="str">
        <f>"1989-09-20"</f>
        <v>1989-09-20</v>
      </c>
      <c r="H1377" s="5" t="str">
        <f>"湖南机电职业技术学院"</f>
        <v>湖南机电职业技术学院</v>
      </c>
    </row>
    <row r="1378" s="2" customFormat="1" ht="20" customHeight="1" spans="1:8">
      <c r="A1378" s="5">
        <v>1376</v>
      </c>
      <c r="B1378" s="5" t="str">
        <f>"223220191127202154216035"</f>
        <v>223220191127202154216035</v>
      </c>
      <c r="C1378" s="5" t="s">
        <v>43</v>
      </c>
      <c r="D1378" s="5" t="s">
        <v>44</v>
      </c>
      <c r="E1378" s="5" t="str">
        <f>"张琛"</f>
        <v>张琛</v>
      </c>
      <c r="F1378" s="5" t="str">
        <f>"男"</f>
        <v>男</v>
      </c>
      <c r="G1378" s="5" t="str">
        <f>"1992-04-06"</f>
        <v>1992-04-06</v>
      </c>
      <c r="H1378" s="5" t="str">
        <f>"广西师范大学"</f>
        <v>广西师范大学</v>
      </c>
    </row>
    <row r="1379" s="2" customFormat="1" ht="20" customHeight="1" spans="1:8">
      <c r="A1379" s="5">
        <v>1377</v>
      </c>
      <c r="B1379" s="5" t="str">
        <f>"223220191127203606216061"</f>
        <v>223220191127203606216061</v>
      </c>
      <c r="C1379" s="5" t="s">
        <v>43</v>
      </c>
      <c r="D1379" s="5" t="s">
        <v>44</v>
      </c>
      <c r="E1379" s="5" t="str">
        <f>"张伟伟"</f>
        <v>张伟伟</v>
      </c>
      <c r="F1379" s="5" t="str">
        <f>"女"</f>
        <v>女</v>
      </c>
      <c r="G1379" s="5" t="str">
        <f>"1990-12-10"</f>
        <v>1990-12-10</v>
      </c>
      <c r="H1379" s="5" t="str">
        <f>"淮北师范大学信息学院"</f>
        <v>淮北师范大学信息学院</v>
      </c>
    </row>
    <row r="1380" s="2" customFormat="1" ht="20" customHeight="1" spans="1:8">
      <c r="A1380" s="5">
        <v>1378</v>
      </c>
      <c r="B1380" s="5" t="str">
        <f>"223220191127204032216065"</f>
        <v>223220191127204032216065</v>
      </c>
      <c r="C1380" s="5" t="s">
        <v>43</v>
      </c>
      <c r="D1380" s="5" t="s">
        <v>44</v>
      </c>
      <c r="E1380" s="5" t="str">
        <f>"王开令"</f>
        <v>王开令</v>
      </c>
      <c r="F1380" s="5" t="str">
        <f t="shared" ref="F1380:F1387" si="407">"男"</f>
        <v>男</v>
      </c>
      <c r="G1380" s="5" t="str">
        <f>"1996-06-24"</f>
        <v>1996-06-24</v>
      </c>
      <c r="H1380" s="5" t="str">
        <f>"河南工业大学"</f>
        <v>河南工业大学</v>
      </c>
    </row>
    <row r="1381" s="2" customFormat="1" ht="20" customHeight="1" spans="1:8">
      <c r="A1381" s="5">
        <v>1379</v>
      </c>
      <c r="B1381" s="5" t="str">
        <f>"223220191127205030216074"</f>
        <v>223220191127205030216074</v>
      </c>
      <c r="C1381" s="5" t="s">
        <v>43</v>
      </c>
      <c r="D1381" s="5" t="s">
        <v>44</v>
      </c>
      <c r="E1381" s="5" t="str">
        <f>"邓俊士"</f>
        <v>邓俊士</v>
      </c>
      <c r="F1381" s="5" t="str">
        <f t="shared" si="407"/>
        <v>男</v>
      </c>
      <c r="G1381" s="5" t="str">
        <f>"1994-06-27"</f>
        <v>1994-06-27</v>
      </c>
      <c r="H1381" s="5" t="str">
        <f>"中国民航大学"</f>
        <v>中国民航大学</v>
      </c>
    </row>
    <row r="1382" s="2" customFormat="1" ht="20" customHeight="1" spans="1:8">
      <c r="A1382" s="5">
        <v>1380</v>
      </c>
      <c r="B1382" s="5" t="str">
        <f>"223220191127205032216075"</f>
        <v>223220191127205032216075</v>
      </c>
      <c r="C1382" s="5" t="s">
        <v>43</v>
      </c>
      <c r="D1382" s="5" t="s">
        <v>44</v>
      </c>
      <c r="E1382" s="5" t="str">
        <f>"张俊舞"</f>
        <v>张俊舞</v>
      </c>
      <c r="F1382" s="5" t="str">
        <f t="shared" si="407"/>
        <v>男</v>
      </c>
      <c r="G1382" s="5" t="str">
        <f>"1994-01-10"</f>
        <v>1994-01-10</v>
      </c>
      <c r="H1382" s="5" t="str">
        <f>"山东烟台南山学院"</f>
        <v>山东烟台南山学院</v>
      </c>
    </row>
    <row r="1383" s="2" customFormat="1" ht="20" customHeight="1" spans="1:8">
      <c r="A1383" s="5">
        <v>1381</v>
      </c>
      <c r="B1383" s="5" t="str">
        <f>"223220191127211058216105"</f>
        <v>223220191127211058216105</v>
      </c>
      <c r="C1383" s="5" t="s">
        <v>43</v>
      </c>
      <c r="D1383" s="5" t="s">
        <v>44</v>
      </c>
      <c r="E1383" s="5" t="str">
        <f>"符广楷"</f>
        <v>符广楷</v>
      </c>
      <c r="F1383" s="5" t="str">
        <f t="shared" si="407"/>
        <v>男</v>
      </c>
      <c r="G1383" s="5" t="str">
        <f>"1994-11-12"</f>
        <v>1994-11-12</v>
      </c>
      <c r="H1383" s="5" t="str">
        <f>"安徽中医药高等专科学校"</f>
        <v>安徽中医药高等专科学校</v>
      </c>
    </row>
    <row r="1384" s="2" customFormat="1" ht="20" customHeight="1" spans="1:8">
      <c r="A1384" s="5">
        <v>1382</v>
      </c>
      <c r="B1384" s="5" t="str">
        <f>"223220191127214425216149"</f>
        <v>223220191127214425216149</v>
      </c>
      <c r="C1384" s="5" t="s">
        <v>43</v>
      </c>
      <c r="D1384" s="5" t="s">
        <v>44</v>
      </c>
      <c r="E1384" s="5" t="str">
        <f>"温在煌"</f>
        <v>温在煌</v>
      </c>
      <c r="F1384" s="5" t="str">
        <f t="shared" si="407"/>
        <v>男</v>
      </c>
      <c r="G1384" s="5" t="str">
        <f>"1993-03-08"</f>
        <v>1993-03-08</v>
      </c>
      <c r="H1384" s="5" t="str">
        <f>"桂林电子科技大学信息科技学院"</f>
        <v>桂林电子科技大学信息科技学院</v>
      </c>
    </row>
    <row r="1385" s="2" customFormat="1" ht="20" customHeight="1" spans="1:8">
      <c r="A1385" s="5">
        <v>1383</v>
      </c>
      <c r="B1385" s="5" t="str">
        <f>"223220191127222732216203"</f>
        <v>223220191127222732216203</v>
      </c>
      <c r="C1385" s="5" t="s">
        <v>43</v>
      </c>
      <c r="D1385" s="5" t="s">
        <v>44</v>
      </c>
      <c r="E1385" s="5" t="str">
        <f>"唐必文"</f>
        <v>唐必文</v>
      </c>
      <c r="F1385" s="5" t="str">
        <f t="shared" si="407"/>
        <v>男</v>
      </c>
      <c r="G1385" s="5" t="str">
        <f>"1990-09-26"</f>
        <v>1990-09-26</v>
      </c>
      <c r="H1385" s="5" t="str">
        <f>"江西赣江职业技术学院"</f>
        <v>江西赣江职业技术学院</v>
      </c>
    </row>
    <row r="1386" s="2" customFormat="1" ht="20" customHeight="1" spans="1:8">
      <c r="A1386" s="5">
        <v>1384</v>
      </c>
      <c r="B1386" s="5" t="str">
        <f>"223220191128083109216311"</f>
        <v>223220191128083109216311</v>
      </c>
      <c r="C1386" s="5" t="s">
        <v>43</v>
      </c>
      <c r="D1386" s="5" t="s">
        <v>44</v>
      </c>
      <c r="E1386" s="5" t="str">
        <f>"吴超松"</f>
        <v>吴超松</v>
      </c>
      <c r="F1386" s="5" t="str">
        <f t="shared" si="407"/>
        <v>男</v>
      </c>
      <c r="G1386" s="5" t="str">
        <f>"1989-09-14"</f>
        <v>1989-09-14</v>
      </c>
      <c r="H1386" s="5" t="str">
        <f>"海南政法职业学院"</f>
        <v>海南政法职业学院</v>
      </c>
    </row>
    <row r="1387" s="2" customFormat="1" ht="20" customHeight="1" spans="1:8">
      <c r="A1387" s="5">
        <v>1385</v>
      </c>
      <c r="B1387" s="5" t="str">
        <f>"223220191128085843216331"</f>
        <v>223220191128085843216331</v>
      </c>
      <c r="C1387" s="5" t="s">
        <v>43</v>
      </c>
      <c r="D1387" s="5" t="s">
        <v>44</v>
      </c>
      <c r="E1387" s="5" t="str">
        <f>"何福兴"</f>
        <v>何福兴</v>
      </c>
      <c r="F1387" s="5" t="str">
        <f t="shared" si="407"/>
        <v>男</v>
      </c>
      <c r="G1387" s="5" t="str">
        <f>"1987-10-02"</f>
        <v>1987-10-02</v>
      </c>
      <c r="H1387" s="5" t="str">
        <f>"海南政法职业学院"</f>
        <v>海南政法职业学院</v>
      </c>
    </row>
    <row r="1388" s="2" customFormat="1" ht="20" customHeight="1" spans="1:8">
      <c r="A1388" s="5">
        <v>1386</v>
      </c>
      <c r="B1388" s="5" t="str">
        <f>"223220191128092216216372"</f>
        <v>223220191128092216216372</v>
      </c>
      <c r="C1388" s="5" t="s">
        <v>43</v>
      </c>
      <c r="D1388" s="5" t="s">
        <v>44</v>
      </c>
      <c r="E1388" s="5" t="str">
        <f>"刘美婵"</f>
        <v>刘美婵</v>
      </c>
      <c r="F1388" s="5" t="str">
        <f t="shared" ref="F1388:F1395" si="408">"女"</f>
        <v>女</v>
      </c>
      <c r="G1388" s="5" t="str">
        <f>"1991-09-19"</f>
        <v>1991-09-19</v>
      </c>
      <c r="H1388" s="5" t="str">
        <f>"广西科技大学鹿山学院"</f>
        <v>广西科技大学鹿山学院</v>
      </c>
    </row>
    <row r="1389" s="2" customFormat="1" ht="20" customHeight="1" spans="1:8">
      <c r="A1389" s="5">
        <v>1387</v>
      </c>
      <c r="B1389" s="5" t="str">
        <f>"223220191128103518216482"</f>
        <v>223220191128103518216482</v>
      </c>
      <c r="C1389" s="5" t="s">
        <v>43</v>
      </c>
      <c r="D1389" s="5" t="s">
        <v>44</v>
      </c>
      <c r="E1389" s="5" t="str">
        <f>"陈秀连"</f>
        <v>陈秀连</v>
      </c>
      <c r="F1389" s="5" t="str">
        <f t="shared" si="408"/>
        <v>女</v>
      </c>
      <c r="G1389" s="5" t="str">
        <f>"1987-05-09"</f>
        <v>1987-05-09</v>
      </c>
      <c r="H1389" s="5" t="str">
        <f>"重庆电子工程职业学院"</f>
        <v>重庆电子工程职业学院</v>
      </c>
    </row>
    <row r="1390" s="2" customFormat="1" ht="20" customHeight="1" spans="1:8">
      <c r="A1390" s="5">
        <v>1388</v>
      </c>
      <c r="B1390" s="5" t="str">
        <f>"223220191128111727216542"</f>
        <v>223220191128111727216542</v>
      </c>
      <c r="C1390" s="5" t="s">
        <v>43</v>
      </c>
      <c r="D1390" s="5" t="s">
        <v>44</v>
      </c>
      <c r="E1390" s="5" t="str">
        <f>"何志君"</f>
        <v>何志君</v>
      </c>
      <c r="F1390" s="5" t="str">
        <f>"男"</f>
        <v>男</v>
      </c>
      <c r="G1390" s="5" t="str">
        <f>"1994-07-02"</f>
        <v>1994-07-02</v>
      </c>
      <c r="H1390" s="5" t="str">
        <f>"华北电力大学"</f>
        <v>华北电力大学</v>
      </c>
    </row>
    <row r="1391" s="2" customFormat="1" ht="20" customHeight="1" spans="1:8">
      <c r="A1391" s="5">
        <v>1389</v>
      </c>
      <c r="B1391" s="5" t="str">
        <f>"223220191128123638216639"</f>
        <v>223220191128123638216639</v>
      </c>
      <c r="C1391" s="5" t="s">
        <v>43</v>
      </c>
      <c r="D1391" s="5" t="s">
        <v>44</v>
      </c>
      <c r="E1391" s="5" t="str">
        <f>"王有萱"</f>
        <v>王有萱</v>
      </c>
      <c r="F1391" s="5" t="str">
        <f t="shared" ref="F1391:F1395" si="409">"女"</f>
        <v>女</v>
      </c>
      <c r="G1391" s="5" t="str">
        <f>"1997-04-30"</f>
        <v>1997-04-30</v>
      </c>
      <c r="H1391" s="5" t="str">
        <f>"海南工商职业学院"</f>
        <v>海南工商职业学院</v>
      </c>
    </row>
    <row r="1392" s="2" customFormat="1" ht="20" customHeight="1" spans="1:8">
      <c r="A1392" s="5">
        <v>1390</v>
      </c>
      <c r="B1392" s="5" t="str">
        <f>"223220191128145047216799"</f>
        <v>223220191128145047216799</v>
      </c>
      <c r="C1392" s="5" t="s">
        <v>43</v>
      </c>
      <c r="D1392" s="5" t="s">
        <v>44</v>
      </c>
      <c r="E1392" s="5" t="str">
        <f>"苻武香"</f>
        <v>苻武香</v>
      </c>
      <c r="F1392" s="5" t="str">
        <f t="shared" si="409"/>
        <v>女</v>
      </c>
      <c r="G1392" s="5" t="str">
        <f>"1991-09-01"</f>
        <v>1991-09-01</v>
      </c>
      <c r="H1392" s="5" t="str">
        <f>"湖南第一师范学院"</f>
        <v>湖南第一师范学院</v>
      </c>
    </row>
    <row r="1393" s="2" customFormat="1" ht="20" customHeight="1" spans="1:8">
      <c r="A1393" s="5">
        <v>1391</v>
      </c>
      <c r="B1393" s="5" t="str">
        <f>"223220191128154817216905"</f>
        <v>223220191128154817216905</v>
      </c>
      <c r="C1393" s="5" t="s">
        <v>43</v>
      </c>
      <c r="D1393" s="5" t="s">
        <v>44</v>
      </c>
      <c r="E1393" s="5" t="str">
        <f>"金玲玲"</f>
        <v>金玲玲</v>
      </c>
      <c r="F1393" s="5" t="str">
        <f t="shared" si="409"/>
        <v>女</v>
      </c>
      <c r="G1393" s="5" t="str">
        <f>"1991-01-27"</f>
        <v>1991-01-27</v>
      </c>
      <c r="H1393" s="5" t="str">
        <f>"海南工商职业学院"</f>
        <v>海南工商职业学院</v>
      </c>
    </row>
    <row r="1394" s="2" customFormat="1" ht="20" customHeight="1" spans="1:8">
      <c r="A1394" s="5">
        <v>1392</v>
      </c>
      <c r="B1394" s="5" t="str">
        <f>"223220191128165213216985"</f>
        <v>223220191128165213216985</v>
      </c>
      <c r="C1394" s="5" t="s">
        <v>43</v>
      </c>
      <c r="D1394" s="5" t="s">
        <v>44</v>
      </c>
      <c r="E1394" s="5" t="str">
        <f>"吴月丽"</f>
        <v>吴月丽</v>
      </c>
      <c r="F1394" s="5" t="str">
        <f t="shared" si="409"/>
        <v>女</v>
      </c>
      <c r="G1394" s="5" t="str">
        <f>"1997-08-08"</f>
        <v>1997-08-08</v>
      </c>
      <c r="H1394" s="5" t="str">
        <f>"江西工商学院"</f>
        <v>江西工商学院</v>
      </c>
    </row>
    <row r="1395" s="2" customFormat="1" ht="20" customHeight="1" spans="1:8">
      <c r="A1395" s="5">
        <v>1393</v>
      </c>
      <c r="B1395" s="5" t="str">
        <f>"223220191128170011216993"</f>
        <v>223220191128170011216993</v>
      </c>
      <c r="C1395" s="5" t="s">
        <v>43</v>
      </c>
      <c r="D1395" s="5" t="s">
        <v>44</v>
      </c>
      <c r="E1395" s="5" t="str">
        <f>"王慧"</f>
        <v>王慧</v>
      </c>
      <c r="F1395" s="5" t="str">
        <f t="shared" si="409"/>
        <v>女</v>
      </c>
      <c r="G1395" s="5" t="str">
        <f>"1996-10-28"</f>
        <v>1996-10-28</v>
      </c>
      <c r="H1395" s="5" t="str">
        <f>"辽宁财贸学院"</f>
        <v>辽宁财贸学院</v>
      </c>
    </row>
    <row r="1396" s="2" customFormat="1" ht="20" customHeight="1" spans="1:8">
      <c r="A1396" s="5">
        <v>1394</v>
      </c>
      <c r="B1396" s="5" t="str">
        <f>"223220191128173132217028"</f>
        <v>223220191128173132217028</v>
      </c>
      <c r="C1396" s="5" t="s">
        <v>43</v>
      </c>
      <c r="D1396" s="5" t="s">
        <v>44</v>
      </c>
      <c r="E1396" s="5" t="str">
        <f>"何冠春"</f>
        <v>何冠春</v>
      </c>
      <c r="F1396" s="5" t="str">
        <f>"男"</f>
        <v>男</v>
      </c>
      <c r="G1396" s="5" t="str">
        <f>"1988-05-05"</f>
        <v>1988-05-05</v>
      </c>
      <c r="H1396" s="5" t="str">
        <f>"琼台师范高等专科学校"</f>
        <v>琼台师范高等专科学校</v>
      </c>
    </row>
    <row r="1397" s="2" customFormat="1" ht="20" customHeight="1" spans="1:8">
      <c r="A1397" s="5">
        <v>1395</v>
      </c>
      <c r="B1397" s="5" t="str">
        <f>"223220191128174208217034"</f>
        <v>223220191128174208217034</v>
      </c>
      <c r="C1397" s="5" t="s">
        <v>43</v>
      </c>
      <c r="D1397" s="5" t="s">
        <v>44</v>
      </c>
      <c r="E1397" s="5" t="str">
        <f>"黄科睿"</f>
        <v>黄科睿</v>
      </c>
      <c r="F1397" s="5" t="str">
        <f>"男"</f>
        <v>男</v>
      </c>
      <c r="G1397" s="5" t="str">
        <f>"1992-02-08"</f>
        <v>1992-02-08</v>
      </c>
      <c r="H1397" s="5" t="str">
        <f>"三亚航空旅游职业学院"</f>
        <v>三亚航空旅游职业学院</v>
      </c>
    </row>
    <row r="1398" s="2" customFormat="1" ht="20" customHeight="1" spans="1:8">
      <c r="A1398" s="5">
        <v>1396</v>
      </c>
      <c r="B1398" s="5" t="str">
        <f>"223220191128174806217039"</f>
        <v>223220191128174806217039</v>
      </c>
      <c r="C1398" s="5" t="s">
        <v>43</v>
      </c>
      <c r="D1398" s="5" t="s">
        <v>44</v>
      </c>
      <c r="E1398" s="5" t="str">
        <f>"万欣"</f>
        <v>万欣</v>
      </c>
      <c r="F1398" s="5" t="str">
        <f>"女"</f>
        <v>女</v>
      </c>
      <c r="G1398" s="5" t="str">
        <f>"1996-08-17"</f>
        <v>1996-08-17</v>
      </c>
      <c r="H1398" s="5" t="str">
        <f>"海南软件职业技术学院"</f>
        <v>海南软件职业技术学院</v>
      </c>
    </row>
    <row r="1399" s="2" customFormat="1" ht="20" customHeight="1" spans="1:8">
      <c r="A1399" s="5">
        <v>1397</v>
      </c>
      <c r="B1399" s="5" t="str">
        <f>"223220191128180253217052"</f>
        <v>223220191128180253217052</v>
      </c>
      <c r="C1399" s="5" t="s">
        <v>43</v>
      </c>
      <c r="D1399" s="5" t="s">
        <v>44</v>
      </c>
      <c r="E1399" s="5" t="str">
        <f>"黄河润"</f>
        <v>黄河润</v>
      </c>
      <c r="F1399" s="5" t="str">
        <f t="shared" ref="F1399:F1404" si="410">"男"</f>
        <v>男</v>
      </c>
      <c r="G1399" s="5" t="str">
        <f>"1994-06-05"</f>
        <v>1994-06-05</v>
      </c>
      <c r="H1399" s="5" t="str">
        <f>"辽宁财贸学院"</f>
        <v>辽宁财贸学院</v>
      </c>
    </row>
    <row r="1400" s="2" customFormat="1" ht="20" customHeight="1" spans="1:8">
      <c r="A1400" s="5">
        <v>1398</v>
      </c>
      <c r="B1400" s="5" t="str">
        <f>"223220191128180828217055"</f>
        <v>223220191128180828217055</v>
      </c>
      <c r="C1400" s="5" t="s">
        <v>43</v>
      </c>
      <c r="D1400" s="5" t="s">
        <v>44</v>
      </c>
      <c r="E1400" s="5" t="str">
        <f>"朱和园"</f>
        <v>朱和园</v>
      </c>
      <c r="F1400" s="5" t="str">
        <f t="shared" si="410"/>
        <v>男</v>
      </c>
      <c r="G1400" s="5" t="str">
        <f>"1992-02-16"</f>
        <v>1992-02-16</v>
      </c>
      <c r="H1400" s="5" t="str">
        <f>"三亚航空旅游职业学院"</f>
        <v>三亚航空旅游职业学院</v>
      </c>
    </row>
    <row r="1401" s="2" customFormat="1" ht="20" customHeight="1" spans="1:8">
      <c r="A1401" s="5">
        <v>1399</v>
      </c>
      <c r="B1401" s="5" t="str">
        <f>"223220191128193107217100"</f>
        <v>223220191128193107217100</v>
      </c>
      <c r="C1401" s="5" t="s">
        <v>43</v>
      </c>
      <c r="D1401" s="5" t="s">
        <v>44</v>
      </c>
      <c r="E1401" s="5" t="str">
        <f>"覃祖旺"</f>
        <v>覃祖旺</v>
      </c>
      <c r="F1401" s="5" t="str">
        <f t="shared" si="410"/>
        <v>男</v>
      </c>
      <c r="G1401" s="5" t="str">
        <f>"1993-12-06"</f>
        <v>1993-12-06</v>
      </c>
      <c r="H1401" s="5" t="str">
        <f>"红河学院"</f>
        <v>红河学院</v>
      </c>
    </row>
    <row r="1402" s="2" customFormat="1" ht="20" customHeight="1" spans="1:8">
      <c r="A1402" s="5">
        <v>1400</v>
      </c>
      <c r="B1402" s="5" t="str">
        <f>"223220191128193532217110"</f>
        <v>223220191128193532217110</v>
      </c>
      <c r="C1402" s="5" t="s">
        <v>43</v>
      </c>
      <c r="D1402" s="5" t="s">
        <v>44</v>
      </c>
      <c r="E1402" s="5" t="str">
        <f>"曾承科"</f>
        <v>曾承科</v>
      </c>
      <c r="F1402" s="5" t="str">
        <f t="shared" si="410"/>
        <v>男</v>
      </c>
      <c r="G1402" s="5" t="str">
        <f>"1992-08-06"</f>
        <v>1992-08-06</v>
      </c>
      <c r="H1402" s="5" t="str">
        <f>"琼台师范高等专科学校"</f>
        <v>琼台师范高等专科学校</v>
      </c>
    </row>
    <row r="1403" s="2" customFormat="1" ht="20" customHeight="1" spans="1:8">
      <c r="A1403" s="5">
        <v>1401</v>
      </c>
      <c r="B1403" s="5" t="str">
        <f>"223220191128193746217114"</f>
        <v>223220191128193746217114</v>
      </c>
      <c r="C1403" s="5" t="s">
        <v>43</v>
      </c>
      <c r="D1403" s="5" t="s">
        <v>44</v>
      </c>
      <c r="E1403" s="5" t="str">
        <f>"郑耀东"</f>
        <v>郑耀东</v>
      </c>
      <c r="F1403" s="5" t="str">
        <f t="shared" si="410"/>
        <v>男</v>
      </c>
      <c r="G1403" s="5" t="str">
        <f>"1989-06-14"</f>
        <v>1989-06-14</v>
      </c>
      <c r="H1403" s="5" t="str">
        <f>"海南省琼州学院"</f>
        <v>海南省琼州学院</v>
      </c>
    </row>
    <row r="1404" s="2" customFormat="1" ht="20" customHeight="1" spans="1:8">
      <c r="A1404" s="5">
        <v>1402</v>
      </c>
      <c r="B1404" s="5" t="str">
        <f>"223220191128201958217140"</f>
        <v>223220191128201958217140</v>
      </c>
      <c r="C1404" s="5" t="s">
        <v>43</v>
      </c>
      <c r="D1404" s="5" t="s">
        <v>44</v>
      </c>
      <c r="E1404" s="5" t="str">
        <f>"林明波"</f>
        <v>林明波</v>
      </c>
      <c r="F1404" s="5" t="str">
        <f t="shared" si="410"/>
        <v>男</v>
      </c>
      <c r="G1404" s="5" t="str">
        <f>"1989-05-14"</f>
        <v>1989-05-14</v>
      </c>
      <c r="H1404" s="5" t="str">
        <f>"海南职业技术学院"</f>
        <v>海南职业技术学院</v>
      </c>
    </row>
    <row r="1405" s="2" customFormat="1" ht="20" customHeight="1" spans="1:8">
      <c r="A1405" s="5">
        <v>1403</v>
      </c>
      <c r="B1405" s="5" t="str">
        <f>"223220191128203210217149"</f>
        <v>223220191128203210217149</v>
      </c>
      <c r="C1405" s="5" t="s">
        <v>43</v>
      </c>
      <c r="D1405" s="5" t="s">
        <v>44</v>
      </c>
      <c r="E1405" s="5" t="str">
        <f>"符海霞"</f>
        <v>符海霞</v>
      </c>
      <c r="F1405" s="5" t="str">
        <f t="shared" ref="F1405:F1412" si="411">"女"</f>
        <v>女</v>
      </c>
      <c r="G1405" s="5" t="str">
        <f>"1994-09-04"</f>
        <v>1994-09-04</v>
      </c>
      <c r="H1405" s="5" t="str">
        <f>"昆明理工大学津桥学院"</f>
        <v>昆明理工大学津桥学院</v>
      </c>
    </row>
    <row r="1406" s="2" customFormat="1" ht="20" customHeight="1" spans="1:8">
      <c r="A1406" s="5">
        <v>1404</v>
      </c>
      <c r="B1406" s="5" t="str">
        <f>"223220191128204409217159"</f>
        <v>223220191128204409217159</v>
      </c>
      <c r="C1406" s="5" t="s">
        <v>43</v>
      </c>
      <c r="D1406" s="5" t="s">
        <v>44</v>
      </c>
      <c r="E1406" s="5" t="str">
        <f>"李玉明"</f>
        <v>李玉明</v>
      </c>
      <c r="F1406" s="5" t="str">
        <f>"男"</f>
        <v>男</v>
      </c>
      <c r="G1406" s="5" t="str">
        <f>"1990-03-07"</f>
        <v>1990-03-07</v>
      </c>
      <c r="H1406" s="5" t="str">
        <f>"三亚城市职业学院"</f>
        <v>三亚城市职业学院</v>
      </c>
    </row>
    <row r="1407" s="2" customFormat="1" ht="20" customHeight="1" spans="1:8">
      <c r="A1407" s="5">
        <v>1405</v>
      </c>
      <c r="B1407" s="5" t="str">
        <f>"223220191128210626217176"</f>
        <v>223220191128210626217176</v>
      </c>
      <c r="C1407" s="5" t="s">
        <v>43</v>
      </c>
      <c r="D1407" s="5" t="s">
        <v>44</v>
      </c>
      <c r="E1407" s="5" t="str">
        <f>"叶发连"</f>
        <v>叶发连</v>
      </c>
      <c r="F1407" s="5" t="str">
        <f t="shared" ref="F1407:F1412" si="412">"女"</f>
        <v>女</v>
      </c>
      <c r="G1407" s="5" t="str">
        <f>"1989-03-16"</f>
        <v>1989-03-16</v>
      </c>
      <c r="H1407" s="5" t="str">
        <f>"山西农业大学"</f>
        <v>山西农业大学</v>
      </c>
    </row>
    <row r="1408" s="2" customFormat="1" ht="20" customHeight="1" spans="1:8">
      <c r="A1408" s="5">
        <v>1406</v>
      </c>
      <c r="B1408" s="5" t="str">
        <f>"223220191128213000217198"</f>
        <v>223220191128213000217198</v>
      </c>
      <c r="C1408" s="5" t="s">
        <v>43</v>
      </c>
      <c r="D1408" s="5" t="s">
        <v>44</v>
      </c>
      <c r="E1408" s="5" t="str">
        <f>"符海杰"</f>
        <v>符海杰</v>
      </c>
      <c r="F1408" s="5" t="str">
        <f>"男"</f>
        <v>男</v>
      </c>
      <c r="G1408" s="5" t="str">
        <f>"1990-06-03"</f>
        <v>1990-06-03</v>
      </c>
      <c r="H1408" s="5" t="str">
        <f>"江西科技学院"</f>
        <v>江西科技学院</v>
      </c>
    </row>
    <row r="1409" s="2" customFormat="1" ht="20" customHeight="1" spans="1:8">
      <c r="A1409" s="5">
        <v>1407</v>
      </c>
      <c r="B1409" s="5" t="str">
        <f>"223220191128213810217204"</f>
        <v>223220191128213810217204</v>
      </c>
      <c r="C1409" s="5" t="s">
        <v>43</v>
      </c>
      <c r="D1409" s="5" t="s">
        <v>44</v>
      </c>
      <c r="E1409" s="5" t="str">
        <f>"陈丽"</f>
        <v>陈丽</v>
      </c>
      <c r="F1409" s="5" t="str">
        <f>"女"</f>
        <v>女</v>
      </c>
      <c r="G1409" s="5" t="str">
        <f>"1986-09-23"</f>
        <v>1986-09-23</v>
      </c>
      <c r="H1409" s="5" t="str">
        <f>"福州职业技术学院"</f>
        <v>福州职业技术学院</v>
      </c>
    </row>
    <row r="1410" s="2" customFormat="1" ht="20" customHeight="1" spans="1:8">
      <c r="A1410" s="5">
        <v>1408</v>
      </c>
      <c r="B1410" s="5" t="str">
        <f>"223220191128220837217228"</f>
        <v>223220191128220837217228</v>
      </c>
      <c r="C1410" s="5" t="s">
        <v>43</v>
      </c>
      <c r="D1410" s="5" t="s">
        <v>44</v>
      </c>
      <c r="E1410" s="5" t="str">
        <f>"吴丹虹"</f>
        <v>吴丹虹</v>
      </c>
      <c r="F1410" s="5" t="str">
        <f>"女"</f>
        <v>女</v>
      </c>
      <c r="G1410" s="5" t="str">
        <f>"1986-09-24"</f>
        <v>1986-09-24</v>
      </c>
      <c r="H1410" s="5" t="str">
        <f>"湖北经济学院"</f>
        <v>湖北经济学院</v>
      </c>
    </row>
    <row r="1411" s="2" customFormat="1" ht="20" customHeight="1" spans="1:8">
      <c r="A1411" s="5">
        <v>1409</v>
      </c>
      <c r="B1411" s="5" t="str">
        <f>"223220191128222401217241"</f>
        <v>223220191128222401217241</v>
      </c>
      <c r="C1411" s="5" t="s">
        <v>43</v>
      </c>
      <c r="D1411" s="5" t="s">
        <v>44</v>
      </c>
      <c r="E1411" s="5" t="str">
        <f>"李日美"</f>
        <v>李日美</v>
      </c>
      <c r="F1411" s="5" t="str">
        <f>"女"</f>
        <v>女</v>
      </c>
      <c r="G1411" s="5" t="str">
        <f>"1993-08-13"</f>
        <v>1993-08-13</v>
      </c>
      <c r="H1411" s="5" t="str">
        <f>"河北科技大学"</f>
        <v>河北科技大学</v>
      </c>
    </row>
    <row r="1412" s="2" customFormat="1" ht="20" customHeight="1" spans="1:8">
      <c r="A1412" s="5">
        <v>1410</v>
      </c>
      <c r="B1412" s="5" t="str">
        <f>"223220191128223331217247"</f>
        <v>223220191128223331217247</v>
      </c>
      <c r="C1412" s="5" t="s">
        <v>43</v>
      </c>
      <c r="D1412" s="5" t="s">
        <v>44</v>
      </c>
      <c r="E1412" s="5" t="str">
        <f>"李正妃"</f>
        <v>李正妃</v>
      </c>
      <c r="F1412" s="5" t="str">
        <f>"女"</f>
        <v>女</v>
      </c>
      <c r="G1412" s="5" t="str">
        <f>"1992-10-01"</f>
        <v>1992-10-01</v>
      </c>
      <c r="H1412" s="5" t="str">
        <f>"荆楚理工学院"</f>
        <v>荆楚理工学院</v>
      </c>
    </row>
    <row r="1413" s="2" customFormat="1" ht="20" customHeight="1" spans="1:8">
      <c r="A1413" s="5">
        <v>1411</v>
      </c>
      <c r="B1413" s="5" t="str">
        <f>"223220191128224824217255"</f>
        <v>223220191128224824217255</v>
      </c>
      <c r="C1413" s="5" t="s">
        <v>43</v>
      </c>
      <c r="D1413" s="5" t="s">
        <v>44</v>
      </c>
      <c r="E1413" s="5" t="str">
        <f>"李运鹏"</f>
        <v>李运鹏</v>
      </c>
      <c r="F1413" s="5" t="str">
        <f>"男"</f>
        <v>男</v>
      </c>
      <c r="G1413" s="5" t="str">
        <f>"1992-08-16"</f>
        <v>1992-08-16</v>
      </c>
      <c r="H1413" s="5" t="str">
        <f>"贵州省凯里学院"</f>
        <v>贵州省凯里学院</v>
      </c>
    </row>
    <row r="1414" s="2" customFormat="1" ht="20" customHeight="1" spans="1:8">
      <c r="A1414" s="5">
        <v>1412</v>
      </c>
      <c r="B1414" s="5" t="str">
        <f>"223220191128225253217257"</f>
        <v>223220191128225253217257</v>
      </c>
      <c r="C1414" s="5" t="s">
        <v>43</v>
      </c>
      <c r="D1414" s="5" t="s">
        <v>44</v>
      </c>
      <c r="E1414" s="5" t="str">
        <f>"温冬梅"</f>
        <v>温冬梅</v>
      </c>
      <c r="F1414" s="5" t="str">
        <f t="shared" ref="F1414:F1419" si="413">"女"</f>
        <v>女</v>
      </c>
      <c r="G1414" s="5" t="str">
        <f>"1995-05-29"</f>
        <v>1995-05-29</v>
      </c>
      <c r="H1414" s="5" t="str">
        <f>"湖南工业大学"</f>
        <v>湖南工业大学</v>
      </c>
    </row>
    <row r="1415" s="2" customFormat="1" ht="20" customHeight="1" spans="1:8">
      <c r="A1415" s="5">
        <v>1413</v>
      </c>
      <c r="B1415" s="5" t="str">
        <f>"223220191128235221217290"</f>
        <v>223220191128235221217290</v>
      </c>
      <c r="C1415" s="5" t="s">
        <v>43</v>
      </c>
      <c r="D1415" s="5" t="s">
        <v>44</v>
      </c>
      <c r="E1415" s="5" t="str">
        <f>"刘秀丽"</f>
        <v>刘秀丽</v>
      </c>
      <c r="F1415" s="5" t="str">
        <f t="shared" si="413"/>
        <v>女</v>
      </c>
      <c r="G1415" s="5" t="str">
        <f>"1992-04-20"</f>
        <v>1992-04-20</v>
      </c>
      <c r="H1415" s="5" t="str">
        <f>"海南经贸职业技术学院"</f>
        <v>海南经贸职业技术学院</v>
      </c>
    </row>
    <row r="1416" s="2" customFormat="1" ht="20" customHeight="1" spans="1:8">
      <c r="A1416" s="5">
        <v>1414</v>
      </c>
      <c r="B1416" s="5" t="str">
        <f>"223220191128235457217292"</f>
        <v>223220191128235457217292</v>
      </c>
      <c r="C1416" s="5" t="s">
        <v>43</v>
      </c>
      <c r="D1416" s="5" t="s">
        <v>44</v>
      </c>
      <c r="E1416" s="5" t="str">
        <f>"唐崇龄"</f>
        <v>唐崇龄</v>
      </c>
      <c r="F1416" s="5" t="str">
        <f t="shared" ref="F1416:F1422" si="414">"男"</f>
        <v>男</v>
      </c>
      <c r="G1416" s="5" t="str">
        <f>"1989-06-26"</f>
        <v>1989-06-26</v>
      </c>
      <c r="H1416" s="5" t="str">
        <f>"中北大学信息商务学院"</f>
        <v>中北大学信息商务学院</v>
      </c>
    </row>
    <row r="1417" s="2" customFormat="1" ht="20" customHeight="1" spans="1:8">
      <c r="A1417" s="5">
        <v>1415</v>
      </c>
      <c r="B1417" s="5" t="str">
        <f>"223220191128235513217293"</f>
        <v>223220191128235513217293</v>
      </c>
      <c r="C1417" s="5" t="s">
        <v>43</v>
      </c>
      <c r="D1417" s="5" t="s">
        <v>44</v>
      </c>
      <c r="E1417" s="5" t="str">
        <f>"高秀霞"</f>
        <v>高秀霞</v>
      </c>
      <c r="F1417" s="5" t="str">
        <f t="shared" ref="F1417:F1419" si="415">"女"</f>
        <v>女</v>
      </c>
      <c r="G1417" s="5" t="str">
        <f>"1986-08-10"</f>
        <v>1986-08-10</v>
      </c>
      <c r="H1417" s="5" t="str">
        <f>"琼州学院"</f>
        <v>琼州学院</v>
      </c>
    </row>
    <row r="1418" s="2" customFormat="1" ht="20" customHeight="1" spans="1:8">
      <c r="A1418" s="5">
        <v>1416</v>
      </c>
      <c r="B1418" s="5" t="str">
        <f>"223220191129000003217295"</f>
        <v>223220191129000003217295</v>
      </c>
      <c r="C1418" s="5" t="s">
        <v>43</v>
      </c>
      <c r="D1418" s="5" t="s">
        <v>44</v>
      </c>
      <c r="E1418" s="5" t="str">
        <f>"林桂妃"</f>
        <v>林桂妃</v>
      </c>
      <c r="F1418" s="5" t="str">
        <f t="shared" si="415"/>
        <v>女</v>
      </c>
      <c r="G1418" s="5" t="str">
        <f>"1994-10-30"</f>
        <v>1994-10-30</v>
      </c>
      <c r="H1418" s="5" t="str">
        <f>"哈尔滨金融学院"</f>
        <v>哈尔滨金融学院</v>
      </c>
    </row>
    <row r="1419" s="2" customFormat="1" ht="20" customHeight="1" spans="1:8">
      <c r="A1419" s="5">
        <v>1417</v>
      </c>
      <c r="B1419" s="5" t="str">
        <f>"223220191129001324217298"</f>
        <v>223220191129001324217298</v>
      </c>
      <c r="C1419" s="5" t="s">
        <v>43</v>
      </c>
      <c r="D1419" s="5" t="s">
        <v>44</v>
      </c>
      <c r="E1419" s="5" t="str">
        <f>"张倩"</f>
        <v>张倩</v>
      </c>
      <c r="F1419" s="5" t="str">
        <f t="shared" si="415"/>
        <v>女</v>
      </c>
      <c r="G1419" s="5" t="str">
        <f>"1993-10-13"</f>
        <v>1993-10-13</v>
      </c>
      <c r="H1419" s="5" t="str">
        <f>"海南大学"</f>
        <v>海南大学</v>
      </c>
    </row>
    <row r="1420" s="2" customFormat="1" ht="20" customHeight="1" spans="1:8">
      <c r="A1420" s="5">
        <v>1418</v>
      </c>
      <c r="B1420" s="5" t="str">
        <f>"223220191129025930217308"</f>
        <v>223220191129025930217308</v>
      </c>
      <c r="C1420" s="5" t="s">
        <v>43</v>
      </c>
      <c r="D1420" s="5" t="s">
        <v>44</v>
      </c>
      <c r="E1420" s="5" t="str">
        <f>"尹宁"</f>
        <v>尹宁</v>
      </c>
      <c r="F1420" s="5" t="str">
        <f t="shared" ref="F1420:F1422" si="416">"男"</f>
        <v>男</v>
      </c>
      <c r="G1420" s="5" t="str">
        <f>"1986-11-09"</f>
        <v>1986-11-09</v>
      </c>
      <c r="H1420" s="5" t="str">
        <f>"海南大学"</f>
        <v>海南大学</v>
      </c>
    </row>
    <row r="1421" s="2" customFormat="1" ht="20" customHeight="1" spans="1:8">
      <c r="A1421" s="5">
        <v>1419</v>
      </c>
      <c r="B1421" s="5" t="str">
        <f>"223220191129084338217325"</f>
        <v>223220191129084338217325</v>
      </c>
      <c r="C1421" s="5" t="s">
        <v>43</v>
      </c>
      <c r="D1421" s="5" t="s">
        <v>44</v>
      </c>
      <c r="E1421" s="5" t="str">
        <f>"陈文博"</f>
        <v>陈文博</v>
      </c>
      <c r="F1421" s="5" t="str">
        <f t="shared" si="416"/>
        <v>男</v>
      </c>
      <c r="G1421" s="5" t="str">
        <f>"1992-02-07"</f>
        <v>1992-02-07</v>
      </c>
      <c r="H1421" s="5" t="str">
        <f>"河南商丘学院"</f>
        <v>河南商丘学院</v>
      </c>
    </row>
    <row r="1422" s="2" customFormat="1" ht="20" customHeight="1" spans="1:8">
      <c r="A1422" s="5">
        <v>1420</v>
      </c>
      <c r="B1422" s="5" t="str">
        <f>"223220191129084549217327"</f>
        <v>223220191129084549217327</v>
      </c>
      <c r="C1422" s="5" t="s">
        <v>43</v>
      </c>
      <c r="D1422" s="5" t="s">
        <v>44</v>
      </c>
      <c r="E1422" s="5" t="str">
        <f>"李东蔚"</f>
        <v>李东蔚</v>
      </c>
      <c r="F1422" s="5" t="str">
        <f t="shared" si="416"/>
        <v>男</v>
      </c>
      <c r="G1422" s="5" t="str">
        <f>"1985-09-02"</f>
        <v>1985-09-02</v>
      </c>
      <c r="H1422" s="5" t="str">
        <f>"武汉科技大学"</f>
        <v>武汉科技大学</v>
      </c>
    </row>
    <row r="1423" s="2" customFormat="1" ht="20" customHeight="1" spans="1:8">
      <c r="A1423" s="5">
        <v>1421</v>
      </c>
      <c r="B1423" s="5" t="str">
        <f>"223220191129085909217335"</f>
        <v>223220191129085909217335</v>
      </c>
      <c r="C1423" s="5" t="s">
        <v>43</v>
      </c>
      <c r="D1423" s="5" t="s">
        <v>44</v>
      </c>
      <c r="E1423" s="5" t="str">
        <f>"林晓波"</f>
        <v>林晓波</v>
      </c>
      <c r="F1423" s="5" t="str">
        <f>"女"</f>
        <v>女</v>
      </c>
      <c r="G1423" s="5" t="str">
        <f>"1992-02-16"</f>
        <v>1992-02-16</v>
      </c>
      <c r="H1423" s="5" t="str">
        <f>"九江职业技术学院"</f>
        <v>九江职业技术学院</v>
      </c>
    </row>
    <row r="1424" s="2" customFormat="1" ht="20" customHeight="1" spans="1:8">
      <c r="A1424" s="5">
        <v>1422</v>
      </c>
      <c r="B1424" s="5" t="str">
        <f>"223220191129090237217338"</f>
        <v>223220191129090237217338</v>
      </c>
      <c r="C1424" s="5" t="s">
        <v>43</v>
      </c>
      <c r="D1424" s="5" t="s">
        <v>44</v>
      </c>
      <c r="E1424" s="5" t="str">
        <f>"许光龙"</f>
        <v>许光龙</v>
      </c>
      <c r="F1424" s="5" t="str">
        <f>"男"</f>
        <v>男</v>
      </c>
      <c r="G1424" s="5" t="str">
        <f>"1992-10-20"</f>
        <v>1992-10-20</v>
      </c>
      <c r="H1424" s="5" t="str">
        <f>"湖南工业大学科技学院"</f>
        <v>湖南工业大学科技学院</v>
      </c>
    </row>
    <row r="1425" s="2" customFormat="1" ht="20" customHeight="1" spans="1:8">
      <c r="A1425" s="5">
        <v>1423</v>
      </c>
      <c r="B1425" s="5" t="str">
        <f>"223220191129091121217346"</f>
        <v>223220191129091121217346</v>
      </c>
      <c r="C1425" s="5" t="s">
        <v>43</v>
      </c>
      <c r="D1425" s="5" t="s">
        <v>44</v>
      </c>
      <c r="E1425" s="5" t="str">
        <f>"何姑女"</f>
        <v>何姑女</v>
      </c>
      <c r="F1425" s="5" t="str">
        <f t="shared" ref="F1425:F1430" si="417">"女"</f>
        <v>女</v>
      </c>
      <c r="G1425" s="5" t="str">
        <f>"1993-11-17"</f>
        <v>1993-11-17</v>
      </c>
      <c r="H1425" s="5" t="str">
        <f>"海南省海口经济学院"</f>
        <v>海南省海口经济学院</v>
      </c>
    </row>
    <row r="1426" s="2" customFormat="1" ht="20" customHeight="1" spans="1:8">
      <c r="A1426" s="5">
        <v>1424</v>
      </c>
      <c r="B1426" s="5" t="str">
        <f>"223220191129092140217355"</f>
        <v>223220191129092140217355</v>
      </c>
      <c r="C1426" s="5" t="s">
        <v>43</v>
      </c>
      <c r="D1426" s="5" t="s">
        <v>44</v>
      </c>
      <c r="E1426" s="5" t="str">
        <f>"陈日德"</f>
        <v>陈日德</v>
      </c>
      <c r="F1426" s="5" t="str">
        <f t="shared" si="417"/>
        <v>女</v>
      </c>
      <c r="G1426" s="5" t="str">
        <f>"1993-02-04"</f>
        <v>1993-02-04</v>
      </c>
      <c r="H1426" s="5" t="str">
        <f>"吉林工商学院"</f>
        <v>吉林工商学院</v>
      </c>
    </row>
    <row r="1427" s="2" customFormat="1" ht="20" customHeight="1" spans="1:8">
      <c r="A1427" s="5">
        <v>1425</v>
      </c>
      <c r="B1427" s="5" t="str">
        <f>"223220191129094431217376"</f>
        <v>223220191129094431217376</v>
      </c>
      <c r="C1427" s="5" t="s">
        <v>43</v>
      </c>
      <c r="D1427" s="5" t="s">
        <v>44</v>
      </c>
      <c r="E1427" s="5" t="str">
        <f>"杨舒花"</f>
        <v>杨舒花</v>
      </c>
      <c r="F1427" s="5" t="str">
        <f t="shared" si="417"/>
        <v>女</v>
      </c>
      <c r="G1427" s="5" t="str">
        <f>"1994-01-14"</f>
        <v>1994-01-14</v>
      </c>
      <c r="H1427" s="5" t="str">
        <f>"吉林师范大学博达学院"</f>
        <v>吉林师范大学博达学院</v>
      </c>
    </row>
    <row r="1428" s="2" customFormat="1" ht="20" customHeight="1" spans="1:8">
      <c r="A1428" s="5">
        <v>1426</v>
      </c>
      <c r="B1428" s="5" t="str">
        <f>"223220191129101915217402"</f>
        <v>223220191129101915217402</v>
      </c>
      <c r="C1428" s="5" t="s">
        <v>43</v>
      </c>
      <c r="D1428" s="5" t="s">
        <v>44</v>
      </c>
      <c r="E1428" s="5" t="str">
        <f>"廖海霞"</f>
        <v>廖海霞</v>
      </c>
      <c r="F1428" s="5" t="str">
        <f t="shared" si="417"/>
        <v>女</v>
      </c>
      <c r="G1428" s="5" t="str">
        <f>"1988-07-18"</f>
        <v>1988-07-18</v>
      </c>
      <c r="H1428" s="5" t="str">
        <f>"广西农业职业技术学院"</f>
        <v>广西农业职业技术学院</v>
      </c>
    </row>
    <row r="1429" s="2" customFormat="1" ht="20" customHeight="1" spans="1:8">
      <c r="A1429" s="5">
        <v>1427</v>
      </c>
      <c r="B1429" s="5" t="str">
        <f>"223220191129112418217459"</f>
        <v>223220191129112418217459</v>
      </c>
      <c r="C1429" s="5" t="s">
        <v>43</v>
      </c>
      <c r="D1429" s="5" t="s">
        <v>44</v>
      </c>
      <c r="E1429" s="5" t="str">
        <f>"王庆丽"</f>
        <v>王庆丽</v>
      </c>
      <c r="F1429" s="5" t="str">
        <f t="shared" si="417"/>
        <v>女</v>
      </c>
      <c r="G1429" s="5" t="str">
        <f>"1996-05-16"</f>
        <v>1996-05-16</v>
      </c>
      <c r="H1429" s="5" t="str">
        <f>"海南职业技术学院"</f>
        <v>海南职业技术学院</v>
      </c>
    </row>
    <row r="1430" s="2" customFormat="1" ht="20" customHeight="1" spans="1:8">
      <c r="A1430" s="5">
        <v>1428</v>
      </c>
      <c r="B1430" s="5" t="str">
        <f>"223220191129115113217482"</f>
        <v>223220191129115113217482</v>
      </c>
      <c r="C1430" s="5" t="s">
        <v>43</v>
      </c>
      <c r="D1430" s="5" t="s">
        <v>44</v>
      </c>
      <c r="E1430" s="5" t="str">
        <f>"陈素珍"</f>
        <v>陈素珍</v>
      </c>
      <c r="F1430" s="5" t="str">
        <f t="shared" si="417"/>
        <v>女</v>
      </c>
      <c r="G1430" s="5" t="str">
        <f>"1997-08-17"</f>
        <v>1997-08-17</v>
      </c>
      <c r="H1430" s="5" t="str">
        <f>"海南工商职业学院"</f>
        <v>海南工商职业学院</v>
      </c>
    </row>
    <row r="1431" s="2" customFormat="1" ht="20" customHeight="1" spans="1:8">
      <c r="A1431" s="5">
        <v>1429</v>
      </c>
      <c r="B1431" s="5" t="str">
        <f>"223220191129133850217539"</f>
        <v>223220191129133850217539</v>
      </c>
      <c r="C1431" s="5" t="s">
        <v>43</v>
      </c>
      <c r="D1431" s="5" t="s">
        <v>44</v>
      </c>
      <c r="E1431" s="5" t="str">
        <f>"许昌荣"</f>
        <v>许昌荣</v>
      </c>
      <c r="F1431" s="5" t="str">
        <f t="shared" ref="F1431:F1434" si="418">"男"</f>
        <v>男</v>
      </c>
      <c r="G1431" s="5" t="str">
        <f>"1995-07-13"</f>
        <v>1995-07-13</v>
      </c>
      <c r="H1431" s="5" t="str">
        <f>"河南工程学院"</f>
        <v>河南工程学院</v>
      </c>
    </row>
    <row r="1432" s="2" customFormat="1" ht="20" customHeight="1" spans="1:8">
      <c r="A1432" s="5">
        <v>1430</v>
      </c>
      <c r="B1432" s="5" t="str">
        <f>"223220191129141151217556"</f>
        <v>223220191129141151217556</v>
      </c>
      <c r="C1432" s="5" t="s">
        <v>43</v>
      </c>
      <c r="D1432" s="5" t="s">
        <v>44</v>
      </c>
      <c r="E1432" s="5" t="str">
        <f>"周景槐"</f>
        <v>周景槐</v>
      </c>
      <c r="F1432" s="5" t="str">
        <f t="shared" si="418"/>
        <v>男</v>
      </c>
      <c r="G1432" s="5" t="str">
        <f>"1984-10-11"</f>
        <v>1984-10-11</v>
      </c>
      <c r="H1432" s="5" t="str">
        <f>"琼州学院"</f>
        <v>琼州学院</v>
      </c>
    </row>
    <row r="1433" s="2" customFormat="1" ht="20" customHeight="1" spans="1:8">
      <c r="A1433" s="5">
        <v>1431</v>
      </c>
      <c r="B1433" s="5" t="str">
        <f>"223220191129144442217573"</f>
        <v>223220191129144442217573</v>
      </c>
      <c r="C1433" s="5" t="s">
        <v>43</v>
      </c>
      <c r="D1433" s="5" t="s">
        <v>44</v>
      </c>
      <c r="E1433" s="5" t="str">
        <f>"陈日成"</f>
        <v>陈日成</v>
      </c>
      <c r="F1433" s="5" t="str">
        <f t="shared" si="418"/>
        <v>男</v>
      </c>
      <c r="G1433" s="5" t="str">
        <f>"1986-11-16"</f>
        <v>1986-11-16</v>
      </c>
      <c r="H1433" s="5" t="str">
        <f>"广西机电职业技术学院"</f>
        <v>广西机电职业技术学院</v>
      </c>
    </row>
    <row r="1434" s="2" customFormat="1" ht="20" customHeight="1" spans="1:8">
      <c r="A1434" s="5">
        <v>1432</v>
      </c>
      <c r="B1434" s="5" t="str">
        <f>"223220191129145006217575"</f>
        <v>223220191129145006217575</v>
      </c>
      <c r="C1434" s="5" t="s">
        <v>43</v>
      </c>
      <c r="D1434" s="5" t="s">
        <v>44</v>
      </c>
      <c r="E1434" s="5" t="str">
        <f>"陈俊光"</f>
        <v>陈俊光</v>
      </c>
      <c r="F1434" s="5" t="str">
        <f t="shared" si="418"/>
        <v>男</v>
      </c>
      <c r="G1434" s="5" t="str">
        <f>"1990-06-29"</f>
        <v>1990-06-29</v>
      </c>
      <c r="H1434" s="5" t="str">
        <f>"重庆邮电大学移通学院"</f>
        <v>重庆邮电大学移通学院</v>
      </c>
    </row>
    <row r="1435" s="2" customFormat="1" ht="20" customHeight="1" spans="1:8">
      <c r="A1435" s="5">
        <v>1433</v>
      </c>
      <c r="B1435" s="5" t="str">
        <f>"223220191129150623217586"</f>
        <v>223220191129150623217586</v>
      </c>
      <c r="C1435" s="5" t="s">
        <v>43</v>
      </c>
      <c r="D1435" s="5" t="s">
        <v>44</v>
      </c>
      <c r="E1435" s="5" t="str">
        <f>"李秀秀"</f>
        <v>李秀秀</v>
      </c>
      <c r="F1435" s="5" t="str">
        <f t="shared" ref="F1435:F1441" si="419">"女"</f>
        <v>女</v>
      </c>
      <c r="G1435" s="5" t="str">
        <f>"1990-04-16"</f>
        <v>1990-04-16</v>
      </c>
      <c r="H1435" s="5" t="str">
        <f>"琼台师范高等专科学校"</f>
        <v>琼台师范高等专科学校</v>
      </c>
    </row>
    <row r="1436" s="2" customFormat="1" ht="20" customHeight="1" spans="1:8">
      <c r="A1436" s="5">
        <v>1434</v>
      </c>
      <c r="B1436" s="5" t="str">
        <f>"223220191129151442217597"</f>
        <v>223220191129151442217597</v>
      </c>
      <c r="C1436" s="5" t="s">
        <v>43</v>
      </c>
      <c r="D1436" s="5" t="s">
        <v>44</v>
      </c>
      <c r="E1436" s="5" t="str">
        <f>"林承宝"</f>
        <v>林承宝</v>
      </c>
      <c r="F1436" s="5" t="str">
        <f>"男"</f>
        <v>男</v>
      </c>
      <c r="G1436" s="5" t="str">
        <f>"1989-06-25"</f>
        <v>1989-06-25</v>
      </c>
      <c r="H1436" s="5" t="str">
        <f>"厦门华天涉外职业技术学院"</f>
        <v>厦门华天涉外职业技术学院</v>
      </c>
    </row>
    <row r="1437" s="2" customFormat="1" ht="20" customHeight="1" spans="1:8">
      <c r="A1437" s="5">
        <v>1435</v>
      </c>
      <c r="B1437" s="5" t="str">
        <f>"223220191129153605217609"</f>
        <v>223220191129153605217609</v>
      </c>
      <c r="C1437" s="5" t="s">
        <v>43</v>
      </c>
      <c r="D1437" s="5" t="s">
        <v>44</v>
      </c>
      <c r="E1437" s="5" t="str">
        <f>"羊丽秀"</f>
        <v>羊丽秀</v>
      </c>
      <c r="F1437" s="5" t="str">
        <f t="shared" ref="F1437:F1441" si="420">"女"</f>
        <v>女</v>
      </c>
      <c r="G1437" s="5" t="str">
        <f>"1988-09-02"</f>
        <v>1988-09-02</v>
      </c>
      <c r="H1437" s="5" t="str">
        <f>"琼州学院"</f>
        <v>琼州学院</v>
      </c>
    </row>
    <row r="1438" s="2" customFormat="1" ht="20" customHeight="1" spans="1:8">
      <c r="A1438" s="5">
        <v>1436</v>
      </c>
      <c r="B1438" s="5" t="str">
        <f>"223220191129161349217641"</f>
        <v>223220191129161349217641</v>
      </c>
      <c r="C1438" s="5" t="s">
        <v>43</v>
      </c>
      <c r="D1438" s="5" t="s">
        <v>44</v>
      </c>
      <c r="E1438" s="5" t="str">
        <f>"许开茂"</f>
        <v>许开茂</v>
      </c>
      <c r="F1438" s="5" t="str">
        <f t="shared" ref="F1438:F1444" si="421">"男"</f>
        <v>男</v>
      </c>
      <c r="G1438" s="5" t="str">
        <f>"1995-09-01"</f>
        <v>1995-09-01</v>
      </c>
      <c r="H1438" s="5" t="str">
        <f>"河南工程学院"</f>
        <v>河南工程学院</v>
      </c>
    </row>
    <row r="1439" s="2" customFormat="1" ht="20" customHeight="1" spans="1:8">
      <c r="A1439" s="5">
        <v>1437</v>
      </c>
      <c r="B1439" s="5" t="str">
        <f>"223220191129184920217735"</f>
        <v>223220191129184920217735</v>
      </c>
      <c r="C1439" s="5" t="s">
        <v>43</v>
      </c>
      <c r="D1439" s="5" t="s">
        <v>44</v>
      </c>
      <c r="E1439" s="5" t="str">
        <f>"羊丽"</f>
        <v>羊丽</v>
      </c>
      <c r="F1439" s="5" t="str">
        <f>"女"</f>
        <v>女</v>
      </c>
      <c r="G1439" s="5" t="str">
        <f>"1987-10-05"</f>
        <v>1987-10-05</v>
      </c>
      <c r="H1439" s="5" t="str">
        <f>"安徽省马鞍山师范高等专科学校"</f>
        <v>安徽省马鞍山师范高等专科学校</v>
      </c>
    </row>
    <row r="1440" s="2" customFormat="1" ht="20" customHeight="1" spans="1:8">
      <c r="A1440" s="5">
        <v>1438</v>
      </c>
      <c r="B1440" s="5" t="str">
        <f>"223220191129191010217749"</f>
        <v>223220191129191010217749</v>
      </c>
      <c r="C1440" s="5" t="s">
        <v>43</v>
      </c>
      <c r="D1440" s="5" t="s">
        <v>44</v>
      </c>
      <c r="E1440" s="5" t="str">
        <f>"杨青"</f>
        <v>杨青</v>
      </c>
      <c r="F1440" s="5" t="str">
        <f>"女"</f>
        <v>女</v>
      </c>
      <c r="G1440" s="5" t="str">
        <f>"1985-11-14"</f>
        <v>1985-11-14</v>
      </c>
      <c r="H1440" s="5" t="str">
        <f>"西北大学"</f>
        <v>西北大学</v>
      </c>
    </row>
    <row r="1441" s="2" customFormat="1" ht="20" customHeight="1" spans="1:8">
      <c r="A1441" s="5">
        <v>1439</v>
      </c>
      <c r="B1441" s="5" t="str">
        <f>"223220191129191103217751"</f>
        <v>223220191129191103217751</v>
      </c>
      <c r="C1441" s="5" t="s">
        <v>43</v>
      </c>
      <c r="D1441" s="5" t="s">
        <v>44</v>
      </c>
      <c r="E1441" s="5" t="str">
        <f>"陈春教"</f>
        <v>陈春教</v>
      </c>
      <c r="F1441" s="5" t="str">
        <f>"女"</f>
        <v>女</v>
      </c>
      <c r="G1441" s="5" t="str">
        <f>"1994-05-07"</f>
        <v>1994-05-07</v>
      </c>
      <c r="H1441" s="5" t="str">
        <f>"北京体育大学"</f>
        <v>北京体育大学</v>
      </c>
    </row>
    <row r="1442" s="2" customFormat="1" ht="20" customHeight="1" spans="1:8">
      <c r="A1442" s="5">
        <v>1440</v>
      </c>
      <c r="B1442" s="5" t="str">
        <f>"223220191129193538217766"</f>
        <v>223220191129193538217766</v>
      </c>
      <c r="C1442" s="5" t="s">
        <v>43</v>
      </c>
      <c r="D1442" s="5" t="s">
        <v>44</v>
      </c>
      <c r="E1442" s="5" t="str">
        <f>"羊志雄"</f>
        <v>羊志雄</v>
      </c>
      <c r="F1442" s="5" t="str">
        <f t="shared" ref="F1442:F1444" si="422">"男"</f>
        <v>男</v>
      </c>
      <c r="G1442" s="5" t="str">
        <f>"1997-05-25"</f>
        <v>1997-05-25</v>
      </c>
      <c r="H1442" s="5" t="str">
        <f>"广西民族师范学院"</f>
        <v>广西民族师范学院</v>
      </c>
    </row>
    <row r="1443" s="2" customFormat="1" ht="20" customHeight="1" spans="1:8">
      <c r="A1443" s="5">
        <v>1441</v>
      </c>
      <c r="B1443" s="5" t="str">
        <f>"223220191129200441217773"</f>
        <v>223220191129200441217773</v>
      </c>
      <c r="C1443" s="5" t="s">
        <v>43</v>
      </c>
      <c r="D1443" s="5" t="s">
        <v>44</v>
      </c>
      <c r="E1443" s="5" t="str">
        <f>"符以智"</f>
        <v>符以智</v>
      </c>
      <c r="F1443" s="5" t="str">
        <f t="shared" si="422"/>
        <v>男</v>
      </c>
      <c r="G1443" s="5" t="str">
        <f>"1996-01-25"</f>
        <v>1996-01-25</v>
      </c>
      <c r="H1443" s="5" t="str">
        <f>"吉林师范大学"</f>
        <v>吉林师范大学</v>
      </c>
    </row>
    <row r="1444" s="2" customFormat="1" ht="20" customHeight="1" spans="1:8">
      <c r="A1444" s="5">
        <v>1442</v>
      </c>
      <c r="B1444" s="5" t="str">
        <f>"223220191129201056217776"</f>
        <v>223220191129201056217776</v>
      </c>
      <c r="C1444" s="5" t="s">
        <v>43</v>
      </c>
      <c r="D1444" s="5" t="s">
        <v>44</v>
      </c>
      <c r="E1444" s="5" t="str">
        <f>"钟旭"</f>
        <v>钟旭</v>
      </c>
      <c r="F1444" s="5" t="str">
        <f t="shared" si="422"/>
        <v>男</v>
      </c>
      <c r="G1444" s="5" t="str">
        <f>"1995-10-05"</f>
        <v>1995-10-05</v>
      </c>
      <c r="H1444" s="5" t="str">
        <f>"海口经济学院"</f>
        <v>海口经济学院</v>
      </c>
    </row>
    <row r="1445" s="2" customFormat="1" ht="20" customHeight="1" spans="1:8">
      <c r="A1445" s="5">
        <v>1443</v>
      </c>
      <c r="B1445" s="5" t="str">
        <f>"223220191129201110217777"</f>
        <v>223220191129201110217777</v>
      </c>
      <c r="C1445" s="5" t="s">
        <v>43</v>
      </c>
      <c r="D1445" s="5" t="s">
        <v>44</v>
      </c>
      <c r="E1445" s="5" t="str">
        <f>"刘兆怡"</f>
        <v>刘兆怡</v>
      </c>
      <c r="F1445" s="5" t="str">
        <f t="shared" ref="F1445:F1450" si="423">"女"</f>
        <v>女</v>
      </c>
      <c r="G1445" s="5" t="str">
        <f>"1994-06-04"</f>
        <v>1994-06-04</v>
      </c>
      <c r="H1445" s="5" t="str">
        <f>"云南师范大学商学院"</f>
        <v>云南师范大学商学院</v>
      </c>
    </row>
    <row r="1446" s="2" customFormat="1" ht="20" customHeight="1" spans="1:8">
      <c r="A1446" s="5">
        <v>1444</v>
      </c>
      <c r="B1446" s="5" t="str">
        <f>"223220191129204655217800"</f>
        <v>223220191129204655217800</v>
      </c>
      <c r="C1446" s="5" t="s">
        <v>43</v>
      </c>
      <c r="D1446" s="5" t="s">
        <v>44</v>
      </c>
      <c r="E1446" s="5" t="str">
        <f>"李泽谊"</f>
        <v>李泽谊</v>
      </c>
      <c r="F1446" s="5" t="str">
        <f t="shared" ref="F1446:F1453" si="424">"男"</f>
        <v>男</v>
      </c>
      <c r="G1446" s="5" t="str">
        <f>"1989-04-06"</f>
        <v>1989-04-06</v>
      </c>
      <c r="H1446" s="5" t="str">
        <f>"武汉工程大学邮电与信息工程学院"</f>
        <v>武汉工程大学邮电与信息工程学院</v>
      </c>
    </row>
    <row r="1447" s="2" customFormat="1" ht="20" customHeight="1" spans="1:8">
      <c r="A1447" s="5">
        <v>1445</v>
      </c>
      <c r="B1447" s="5" t="str">
        <f>"223220191129210333217811"</f>
        <v>223220191129210333217811</v>
      </c>
      <c r="C1447" s="5" t="s">
        <v>43</v>
      </c>
      <c r="D1447" s="5" t="s">
        <v>44</v>
      </c>
      <c r="E1447" s="5" t="str">
        <f>"杨万成"</f>
        <v>杨万成</v>
      </c>
      <c r="F1447" s="5" t="str">
        <f t="shared" si="424"/>
        <v>男</v>
      </c>
      <c r="G1447" s="5" t="str">
        <f>"1994-06-12"</f>
        <v>1994-06-12</v>
      </c>
      <c r="H1447" s="5" t="str">
        <f>"南京审计大学金审学院"</f>
        <v>南京审计大学金审学院</v>
      </c>
    </row>
    <row r="1448" s="2" customFormat="1" ht="20" customHeight="1" spans="1:8">
      <c r="A1448" s="5">
        <v>1446</v>
      </c>
      <c r="B1448" s="5" t="str">
        <f>"223220191129211957217827"</f>
        <v>223220191129211957217827</v>
      </c>
      <c r="C1448" s="5" t="s">
        <v>43</v>
      </c>
      <c r="D1448" s="5" t="s">
        <v>44</v>
      </c>
      <c r="E1448" s="5" t="str">
        <f>"曾淑婷"</f>
        <v>曾淑婷</v>
      </c>
      <c r="F1448" s="5" t="str">
        <f t="shared" ref="F1448:F1450" si="425">"女"</f>
        <v>女</v>
      </c>
      <c r="G1448" s="5" t="str">
        <f>"1994-05-08"</f>
        <v>1994-05-08</v>
      </c>
      <c r="H1448" s="5" t="str">
        <f>"海南医学院"</f>
        <v>海南医学院</v>
      </c>
    </row>
    <row r="1449" s="2" customFormat="1" ht="20" customHeight="1" spans="1:8">
      <c r="A1449" s="5">
        <v>1447</v>
      </c>
      <c r="B1449" s="5" t="str">
        <f>"223220191129222947217853"</f>
        <v>223220191129222947217853</v>
      </c>
      <c r="C1449" s="5" t="s">
        <v>43</v>
      </c>
      <c r="D1449" s="5" t="s">
        <v>44</v>
      </c>
      <c r="E1449" s="5" t="str">
        <f>"黎莹莹"</f>
        <v>黎莹莹</v>
      </c>
      <c r="F1449" s="5" t="str">
        <f t="shared" si="425"/>
        <v>女</v>
      </c>
      <c r="G1449" s="5" t="str">
        <f>"1997-12-05"</f>
        <v>1997-12-05</v>
      </c>
      <c r="H1449" s="5" t="str">
        <f>"海南外国语职业院校"</f>
        <v>海南外国语职业院校</v>
      </c>
    </row>
    <row r="1450" s="2" customFormat="1" ht="20" customHeight="1" spans="1:8">
      <c r="A1450" s="5">
        <v>1448</v>
      </c>
      <c r="B1450" s="5" t="str">
        <f>"223220191129230457217869"</f>
        <v>223220191129230457217869</v>
      </c>
      <c r="C1450" s="5" t="s">
        <v>43</v>
      </c>
      <c r="D1450" s="5" t="s">
        <v>44</v>
      </c>
      <c r="E1450" s="5" t="str">
        <f>"陈妹女"</f>
        <v>陈妹女</v>
      </c>
      <c r="F1450" s="5" t="str">
        <f t="shared" si="425"/>
        <v>女</v>
      </c>
      <c r="G1450" s="5" t="str">
        <f>"1994-10-23"</f>
        <v>1994-10-23</v>
      </c>
      <c r="H1450" s="5" t="str">
        <f>"海南热带海洋学院"</f>
        <v>海南热带海洋学院</v>
      </c>
    </row>
    <row r="1451" s="2" customFormat="1" ht="20" customHeight="1" spans="1:8">
      <c r="A1451" s="5">
        <v>1449</v>
      </c>
      <c r="B1451" s="5" t="str">
        <f>"223220191129232244217875"</f>
        <v>223220191129232244217875</v>
      </c>
      <c r="C1451" s="5" t="s">
        <v>43</v>
      </c>
      <c r="D1451" s="5" t="s">
        <v>44</v>
      </c>
      <c r="E1451" s="5" t="str">
        <f>"林载贤"</f>
        <v>林载贤</v>
      </c>
      <c r="F1451" s="5" t="str">
        <f t="shared" ref="F1451:F1453" si="426">"男"</f>
        <v>男</v>
      </c>
      <c r="G1451" s="5" t="str">
        <f>"1991-10-01"</f>
        <v>1991-10-01</v>
      </c>
      <c r="H1451" s="5" t="str">
        <f>"海南职业技术学院"</f>
        <v>海南职业技术学院</v>
      </c>
    </row>
    <row r="1452" s="2" customFormat="1" ht="20" customHeight="1" spans="1:8">
      <c r="A1452" s="5">
        <v>1450</v>
      </c>
      <c r="B1452" s="5" t="str">
        <f>"223220191130082257217911"</f>
        <v>223220191130082257217911</v>
      </c>
      <c r="C1452" s="5" t="s">
        <v>43</v>
      </c>
      <c r="D1452" s="5" t="s">
        <v>44</v>
      </c>
      <c r="E1452" s="5" t="str">
        <f>"羊俊鸿"</f>
        <v>羊俊鸿</v>
      </c>
      <c r="F1452" s="5" t="str">
        <f t="shared" si="426"/>
        <v>男</v>
      </c>
      <c r="G1452" s="5" t="str">
        <f>"1986-03-09"</f>
        <v>1986-03-09</v>
      </c>
      <c r="H1452" s="5" t="str">
        <f>"云南师范大学文理学院"</f>
        <v>云南师范大学文理学院</v>
      </c>
    </row>
    <row r="1453" s="2" customFormat="1" ht="20" customHeight="1" spans="1:8">
      <c r="A1453" s="5">
        <v>1451</v>
      </c>
      <c r="B1453" s="5" t="str">
        <f>"223220191130094045217935"</f>
        <v>223220191130094045217935</v>
      </c>
      <c r="C1453" s="5" t="s">
        <v>43</v>
      </c>
      <c r="D1453" s="5" t="s">
        <v>44</v>
      </c>
      <c r="E1453" s="5" t="str">
        <f>"吴如俊"</f>
        <v>吴如俊</v>
      </c>
      <c r="F1453" s="5" t="str">
        <f t="shared" si="426"/>
        <v>男</v>
      </c>
      <c r="G1453" s="5" t="str">
        <f>"1997-04-05"</f>
        <v>1997-04-05</v>
      </c>
      <c r="H1453" s="5" t="str">
        <f>"海南热带海洋学院"</f>
        <v>海南热带海洋学院</v>
      </c>
    </row>
    <row r="1454" s="2" customFormat="1" ht="20" customHeight="1" spans="1:8">
      <c r="A1454" s="5">
        <v>1452</v>
      </c>
      <c r="B1454" s="5" t="str">
        <f>"223220191130095739217944"</f>
        <v>223220191130095739217944</v>
      </c>
      <c r="C1454" s="5" t="s">
        <v>43</v>
      </c>
      <c r="D1454" s="5" t="s">
        <v>44</v>
      </c>
      <c r="E1454" s="5" t="str">
        <f>"符琼方"</f>
        <v>符琼方</v>
      </c>
      <c r="F1454" s="5" t="str">
        <f t="shared" ref="F1454:F1465" si="427">"女"</f>
        <v>女</v>
      </c>
      <c r="G1454" s="5" t="str">
        <f>"1994-01-21"</f>
        <v>1994-01-21</v>
      </c>
      <c r="H1454" s="5" t="str">
        <f>"琼州学院"</f>
        <v>琼州学院</v>
      </c>
    </row>
    <row r="1455" s="2" customFormat="1" ht="20" customHeight="1" spans="1:8">
      <c r="A1455" s="5">
        <v>1453</v>
      </c>
      <c r="B1455" s="5" t="str">
        <f>"223220191130100158217947"</f>
        <v>223220191130100158217947</v>
      </c>
      <c r="C1455" s="5" t="s">
        <v>43</v>
      </c>
      <c r="D1455" s="5" t="s">
        <v>44</v>
      </c>
      <c r="E1455" s="5" t="str">
        <f>"许秀玲"</f>
        <v>许秀玲</v>
      </c>
      <c r="F1455" s="5" t="str">
        <f t="shared" si="427"/>
        <v>女</v>
      </c>
      <c r="G1455" s="5" t="str">
        <f>"1994-03-08"</f>
        <v>1994-03-08</v>
      </c>
      <c r="H1455" s="5" t="str">
        <f>"衡水学院"</f>
        <v>衡水学院</v>
      </c>
    </row>
    <row r="1456" s="2" customFormat="1" ht="20" customHeight="1" spans="1:8">
      <c r="A1456" s="5">
        <v>1454</v>
      </c>
      <c r="B1456" s="5" t="str">
        <f>"223220191130102316217961"</f>
        <v>223220191130102316217961</v>
      </c>
      <c r="C1456" s="5" t="s">
        <v>43</v>
      </c>
      <c r="D1456" s="5" t="s">
        <v>44</v>
      </c>
      <c r="E1456" s="5" t="str">
        <f>"赵健婷"</f>
        <v>赵健婷</v>
      </c>
      <c r="F1456" s="5" t="str">
        <f t="shared" si="427"/>
        <v>女</v>
      </c>
      <c r="G1456" s="5" t="str">
        <f>"1994-08-02"</f>
        <v>1994-08-02</v>
      </c>
      <c r="H1456" s="5" t="str">
        <f>"广西师范大学漓江学院"</f>
        <v>广西师范大学漓江学院</v>
      </c>
    </row>
    <row r="1457" s="2" customFormat="1" ht="20" customHeight="1" spans="1:8">
      <c r="A1457" s="5">
        <v>1455</v>
      </c>
      <c r="B1457" s="5" t="str">
        <f>"223220191130102559217962"</f>
        <v>223220191130102559217962</v>
      </c>
      <c r="C1457" s="5" t="s">
        <v>43</v>
      </c>
      <c r="D1457" s="5" t="s">
        <v>44</v>
      </c>
      <c r="E1457" s="5" t="str">
        <f>"李冰"</f>
        <v>李冰</v>
      </c>
      <c r="F1457" s="5" t="str">
        <f t="shared" si="427"/>
        <v>女</v>
      </c>
      <c r="G1457" s="5" t="str">
        <f>"1995-12-25"</f>
        <v>1995-12-25</v>
      </c>
      <c r="H1457" s="5" t="str">
        <f>"海南大学"</f>
        <v>海南大学</v>
      </c>
    </row>
    <row r="1458" s="2" customFormat="1" ht="20" customHeight="1" spans="1:8">
      <c r="A1458" s="5">
        <v>1456</v>
      </c>
      <c r="B1458" s="5" t="str">
        <f>"223220191130103207217970"</f>
        <v>223220191130103207217970</v>
      </c>
      <c r="C1458" s="5" t="s">
        <v>43</v>
      </c>
      <c r="D1458" s="5" t="s">
        <v>44</v>
      </c>
      <c r="E1458" s="5" t="str">
        <f>"陈贤慧"</f>
        <v>陈贤慧</v>
      </c>
      <c r="F1458" s="5" t="str">
        <f t="shared" si="427"/>
        <v>女</v>
      </c>
      <c r="G1458" s="5" t="str">
        <f>"1995-11-11"</f>
        <v>1995-11-11</v>
      </c>
      <c r="H1458" s="5" t="str">
        <f>"长江师范学院"</f>
        <v>长江师范学院</v>
      </c>
    </row>
    <row r="1459" s="2" customFormat="1" ht="20" customHeight="1" spans="1:8">
      <c r="A1459" s="5">
        <v>1457</v>
      </c>
      <c r="B1459" s="5" t="str">
        <f>"223220191130103444217971"</f>
        <v>223220191130103444217971</v>
      </c>
      <c r="C1459" s="5" t="s">
        <v>43</v>
      </c>
      <c r="D1459" s="5" t="s">
        <v>44</v>
      </c>
      <c r="E1459" s="5" t="str">
        <f>"周博娜"</f>
        <v>周博娜</v>
      </c>
      <c r="F1459" s="5" t="str">
        <f t="shared" si="427"/>
        <v>女</v>
      </c>
      <c r="G1459" s="5" t="str">
        <f>"1992-11-04"</f>
        <v>1992-11-04</v>
      </c>
      <c r="H1459" s="5" t="str">
        <f>"西安翻译学院"</f>
        <v>西安翻译学院</v>
      </c>
    </row>
    <row r="1460" s="2" customFormat="1" ht="20" customHeight="1" spans="1:8">
      <c r="A1460" s="5">
        <v>1458</v>
      </c>
      <c r="B1460" s="5" t="str">
        <f>"223220191130111440217995"</f>
        <v>223220191130111440217995</v>
      </c>
      <c r="C1460" s="5" t="s">
        <v>43</v>
      </c>
      <c r="D1460" s="5" t="s">
        <v>44</v>
      </c>
      <c r="E1460" s="5" t="str">
        <f>"陈婷婷"</f>
        <v>陈婷婷</v>
      </c>
      <c r="F1460" s="5" t="str">
        <f t="shared" si="427"/>
        <v>女</v>
      </c>
      <c r="G1460" s="5" t="str">
        <f>"1996-03-16"</f>
        <v>1996-03-16</v>
      </c>
      <c r="H1460" s="5" t="str">
        <f>"西安外国语大学"</f>
        <v>西安外国语大学</v>
      </c>
    </row>
    <row r="1461" s="2" customFormat="1" ht="20" customHeight="1" spans="1:8">
      <c r="A1461" s="5">
        <v>1459</v>
      </c>
      <c r="B1461" s="5" t="str">
        <f>"223220191130115958218019"</f>
        <v>223220191130115958218019</v>
      </c>
      <c r="C1461" s="5" t="s">
        <v>43</v>
      </c>
      <c r="D1461" s="5" t="s">
        <v>44</v>
      </c>
      <c r="E1461" s="5" t="str">
        <f>"刘庆桃"</f>
        <v>刘庆桃</v>
      </c>
      <c r="F1461" s="5" t="str">
        <f t="shared" si="427"/>
        <v>女</v>
      </c>
      <c r="G1461" s="5" t="str">
        <f>"1989-02-01"</f>
        <v>1989-02-01</v>
      </c>
      <c r="H1461" s="5" t="str">
        <f>"重庆能源职业学院"</f>
        <v>重庆能源职业学院</v>
      </c>
    </row>
    <row r="1462" s="2" customFormat="1" ht="20" customHeight="1" spans="1:8">
      <c r="A1462" s="5">
        <v>1460</v>
      </c>
      <c r="B1462" s="5" t="str">
        <f>"223220191130125545218041"</f>
        <v>223220191130125545218041</v>
      </c>
      <c r="C1462" s="5" t="s">
        <v>43</v>
      </c>
      <c r="D1462" s="5" t="s">
        <v>44</v>
      </c>
      <c r="E1462" s="5" t="str">
        <f>"陈秀妹"</f>
        <v>陈秀妹</v>
      </c>
      <c r="F1462" s="5" t="str">
        <f t="shared" si="427"/>
        <v>女</v>
      </c>
      <c r="G1462" s="5" t="str">
        <f>"1994-02-05"</f>
        <v>1994-02-05</v>
      </c>
      <c r="H1462" s="5" t="str">
        <f>"琼台师范学院"</f>
        <v>琼台师范学院</v>
      </c>
    </row>
    <row r="1463" s="2" customFormat="1" ht="20" customHeight="1" spans="1:8">
      <c r="A1463" s="5">
        <v>1461</v>
      </c>
      <c r="B1463" s="5" t="str">
        <f>"223220191130130244218045"</f>
        <v>223220191130130244218045</v>
      </c>
      <c r="C1463" s="5" t="s">
        <v>43</v>
      </c>
      <c r="D1463" s="5" t="s">
        <v>44</v>
      </c>
      <c r="E1463" s="5" t="str">
        <f>"符秀坤"</f>
        <v>符秀坤</v>
      </c>
      <c r="F1463" s="5" t="str">
        <f t="shared" si="427"/>
        <v>女</v>
      </c>
      <c r="G1463" s="5" t="str">
        <f>"1993-10-27"</f>
        <v>1993-10-27</v>
      </c>
      <c r="H1463" s="5" t="str">
        <f>"云南民族大学"</f>
        <v>云南民族大学</v>
      </c>
    </row>
    <row r="1464" s="2" customFormat="1" ht="20" customHeight="1" spans="1:8">
      <c r="A1464" s="5">
        <v>1462</v>
      </c>
      <c r="B1464" s="5" t="str">
        <f>"223220191130133513218056"</f>
        <v>223220191130133513218056</v>
      </c>
      <c r="C1464" s="5" t="s">
        <v>43</v>
      </c>
      <c r="D1464" s="5" t="s">
        <v>44</v>
      </c>
      <c r="E1464" s="5" t="str">
        <f>"邓彩凤"</f>
        <v>邓彩凤</v>
      </c>
      <c r="F1464" s="5" t="str">
        <f t="shared" si="427"/>
        <v>女</v>
      </c>
      <c r="G1464" s="5" t="str">
        <f>"1991-11-20"</f>
        <v>1991-11-20</v>
      </c>
      <c r="H1464" s="5" t="str">
        <f>"西南大学"</f>
        <v>西南大学</v>
      </c>
    </row>
    <row r="1465" s="2" customFormat="1" ht="20" customHeight="1" spans="1:8">
      <c r="A1465" s="5">
        <v>1463</v>
      </c>
      <c r="B1465" s="5" t="str">
        <f>"223220191130133928218058"</f>
        <v>223220191130133928218058</v>
      </c>
      <c r="C1465" s="5" t="s">
        <v>43</v>
      </c>
      <c r="D1465" s="5" t="s">
        <v>44</v>
      </c>
      <c r="E1465" s="5" t="str">
        <f>"符美娟"</f>
        <v>符美娟</v>
      </c>
      <c r="F1465" s="5" t="str">
        <f t="shared" si="427"/>
        <v>女</v>
      </c>
      <c r="G1465" s="5" t="str">
        <f>"1993-08-21"</f>
        <v>1993-08-21</v>
      </c>
      <c r="H1465" s="5" t="str">
        <f>"南昌大学共青学院"</f>
        <v>南昌大学共青学院</v>
      </c>
    </row>
    <row r="1466" s="2" customFormat="1" ht="20" customHeight="1" spans="1:8">
      <c r="A1466" s="5">
        <v>1464</v>
      </c>
      <c r="B1466" s="5" t="str">
        <f>"223220191130152600218127"</f>
        <v>223220191130152600218127</v>
      </c>
      <c r="C1466" s="5" t="s">
        <v>43</v>
      </c>
      <c r="D1466" s="5" t="s">
        <v>44</v>
      </c>
      <c r="E1466" s="5" t="str">
        <f>"梁健"</f>
        <v>梁健</v>
      </c>
      <c r="F1466" s="5" t="str">
        <f t="shared" ref="F1466:F1470" si="428">"男"</f>
        <v>男</v>
      </c>
      <c r="G1466" s="5" t="str">
        <f>"1987-03-26"</f>
        <v>1987-03-26</v>
      </c>
      <c r="H1466" s="5" t="str">
        <f>"湖南公安高等专科学校"</f>
        <v>湖南公安高等专科学校</v>
      </c>
    </row>
    <row r="1467" s="2" customFormat="1" ht="20" customHeight="1" spans="1:8">
      <c r="A1467" s="5">
        <v>1465</v>
      </c>
      <c r="B1467" s="5" t="str">
        <f>"223220191130153002218130"</f>
        <v>223220191130153002218130</v>
      </c>
      <c r="C1467" s="5" t="s">
        <v>43</v>
      </c>
      <c r="D1467" s="5" t="s">
        <v>44</v>
      </c>
      <c r="E1467" s="5" t="str">
        <f>"黎彩颜"</f>
        <v>黎彩颜</v>
      </c>
      <c r="F1467" s="5" t="str">
        <f t="shared" ref="F1467:F1473" si="429">"女"</f>
        <v>女</v>
      </c>
      <c r="G1467" s="5" t="str">
        <f>"1995-08-26"</f>
        <v>1995-08-26</v>
      </c>
      <c r="H1467" s="5" t="str">
        <f>"怀化学院"</f>
        <v>怀化学院</v>
      </c>
    </row>
    <row r="1468" s="2" customFormat="1" ht="20" customHeight="1" spans="1:8">
      <c r="A1468" s="5">
        <v>1466</v>
      </c>
      <c r="B1468" s="5" t="str">
        <f>"223220191130154359218137"</f>
        <v>223220191130154359218137</v>
      </c>
      <c r="C1468" s="5" t="s">
        <v>43</v>
      </c>
      <c r="D1468" s="5" t="s">
        <v>44</v>
      </c>
      <c r="E1468" s="5" t="str">
        <f>"陈健奇"</f>
        <v>陈健奇</v>
      </c>
      <c r="F1468" s="5" t="str">
        <f t="shared" ref="F1468:F1470" si="430">"男"</f>
        <v>男</v>
      </c>
      <c r="G1468" s="5" t="str">
        <f>"1986-08-28"</f>
        <v>1986-08-28</v>
      </c>
      <c r="H1468" s="5" t="str">
        <f>"武汉商贸职业学院"</f>
        <v>武汉商贸职业学院</v>
      </c>
    </row>
    <row r="1469" s="2" customFormat="1" ht="20" customHeight="1" spans="1:8">
      <c r="A1469" s="5">
        <v>1467</v>
      </c>
      <c r="B1469" s="5" t="str">
        <f>"223220191130155045218139"</f>
        <v>223220191130155045218139</v>
      </c>
      <c r="C1469" s="5" t="s">
        <v>43</v>
      </c>
      <c r="D1469" s="5" t="s">
        <v>44</v>
      </c>
      <c r="E1469" s="5" t="str">
        <f>"李耀钰"</f>
        <v>李耀钰</v>
      </c>
      <c r="F1469" s="5" t="str">
        <f t="shared" si="430"/>
        <v>男</v>
      </c>
      <c r="G1469" s="5" t="str">
        <f>"1994-11-28"</f>
        <v>1994-11-28</v>
      </c>
      <c r="H1469" s="5" t="str">
        <f>"南京邮电大学通达学院"</f>
        <v>南京邮电大学通达学院</v>
      </c>
    </row>
    <row r="1470" s="2" customFormat="1" ht="20" customHeight="1" spans="1:8">
      <c r="A1470" s="5">
        <v>1468</v>
      </c>
      <c r="B1470" s="5" t="str">
        <f>"223220191123084353209974"</f>
        <v>223220191123084353209974</v>
      </c>
      <c r="C1470" s="5" t="s">
        <v>45</v>
      </c>
      <c r="D1470" s="5" t="s">
        <v>46</v>
      </c>
      <c r="E1470" s="5" t="str">
        <f>"王开彦"</f>
        <v>王开彦</v>
      </c>
      <c r="F1470" s="5" t="str">
        <f t="shared" si="430"/>
        <v>男</v>
      </c>
      <c r="G1470" s="5" t="str">
        <f>"1992-05-23"</f>
        <v>1992-05-23</v>
      </c>
      <c r="H1470" s="5" t="str">
        <f>"内蒙古师范大学"</f>
        <v>内蒙古师范大学</v>
      </c>
    </row>
    <row r="1471" s="2" customFormat="1" ht="20" customHeight="1" spans="1:8">
      <c r="A1471" s="5">
        <v>1469</v>
      </c>
      <c r="B1471" s="5" t="str">
        <f>"223220191123085142209977"</f>
        <v>223220191123085142209977</v>
      </c>
      <c r="C1471" s="5" t="s">
        <v>45</v>
      </c>
      <c r="D1471" s="5" t="s">
        <v>46</v>
      </c>
      <c r="E1471" s="5" t="str">
        <f>"李妹月"</f>
        <v>李妹月</v>
      </c>
      <c r="F1471" s="5" t="str">
        <f t="shared" ref="F1471:F1473" si="431">"女"</f>
        <v>女</v>
      </c>
      <c r="G1471" s="5" t="str">
        <f>"1994-11-10"</f>
        <v>1994-11-10</v>
      </c>
      <c r="H1471" s="5" t="str">
        <f>"辽宁科技大学"</f>
        <v>辽宁科技大学</v>
      </c>
    </row>
    <row r="1472" s="2" customFormat="1" ht="20" customHeight="1" spans="1:8">
      <c r="A1472" s="5">
        <v>1470</v>
      </c>
      <c r="B1472" s="5" t="str">
        <f>"223220191123092703210012"</f>
        <v>223220191123092703210012</v>
      </c>
      <c r="C1472" s="5" t="s">
        <v>45</v>
      </c>
      <c r="D1472" s="5" t="s">
        <v>46</v>
      </c>
      <c r="E1472" s="5" t="str">
        <f>"王乾花"</f>
        <v>王乾花</v>
      </c>
      <c r="F1472" s="5" t="str">
        <f t="shared" si="431"/>
        <v>女</v>
      </c>
      <c r="G1472" s="5" t="str">
        <f>"1995-05-15"</f>
        <v>1995-05-15</v>
      </c>
      <c r="H1472" s="5" t="str">
        <f>"琼台师范学院"</f>
        <v>琼台师范学院</v>
      </c>
    </row>
    <row r="1473" s="2" customFormat="1" ht="20" customHeight="1" spans="1:8">
      <c r="A1473" s="5">
        <v>1471</v>
      </c>
      <c r="B1473" s="5" t="str">
        <f>"223220191123101523210087"</f>
        <v>223220191123101523210087</v>
      </c>
      <c r="C1473" s="5" t="s">
        <v>45</v>
      </c>
      <c r="D1473" s="5" t="s">
        <v>46</v>
      </c>
      <c r="E1473" s="5" t="str">
        <f>"薛爱风"</f>
        <v>薛爱风</v>
      </c>
      <c r="F1473" s="5" t="str">
        <f t="shared" si="431"/>
        <v>女</v>
      </c>
      <c r="G1473" s="5" t="str">
        <f>"1993-06-20"</f>
        <v>1993-06-20</v>
      </c>
      <c r="H1473" s="5" t="str">
        <f>"青岛理工大学琴岛学院"</f>
        <v>青岛理工大学琴岛学院</v>
      </c>
    </row>
    <row r="1474" s="2" customFormat="1" ht="20" customHeight="1" spans="1:8">
      <c r="A1474" s="5">
        <v>1472</v>
      </c>
      <c r="B1474" s="5" t="str">
        <f>"223220191123102304210099"</f>
        <v>223220191123102304210099</v>
      </c>
      <c r="C1474" s="5" t="s">
        <v>45</v>
      </c>
      <c r="D1474" s="5" t="s">
        <v>46</v>
      </c>
      <c r="E1474" s="5" t="str">
        <f>"薛健盛"</f>
        <v>薛健盛</v>
      </c>
      <c r="F1474" s="5" t="str">
        <f t="shared" ref="F1474:F1476" si="432">"男"</f>
        <v>男</v>
      </c>
      <c r="G1474" s="5" t="str">
        <f>"1995-11-03"</f>
        <v>1995-11-03</v>
      </c>
      <c r="H1474" s="5" t="str">
        <f>"海南政法职业学院"</f>
        <v>海南政法职业学院</v>
      </c>
    </row>
    <row r="1475" s="2" customFormat="1" ht="20" customHeight="1" spans="1:8">
      <c r="A1475" s="5">
        <v>1473</v>
      </c>
      <c r="B1475" s="5" t="str">
        <f>"223220191123105208210146"</f>
        <v>223220191123105208210146</v>
      </c>
      <c r="C1475" s="5" t="s">
        <v>45</v>
      </c>
      <c r="D1475" s="5" t="s">
        <v>46</v>
      </c>
      <c r="E1475" s="5" t="str">
        <f>"李家定"</f>
        <v>李家定</v>
      </c>
      <c r="F1475" s="5" t="str">
        <f t="shared" si="432"/>
        <v>男</v>
      </c>
      <c r="G1475" s="5" t="str">
        <f>"1988-08-06"</f>
        <v>1988-08-06</v>
      </c>
      <c r="H1475" s="5" t="str">
        <f>"广东体育职业技术学院"</f>
        <v>广东体育职业技术学院</v>
      </c>
    </row>
    <row r="1476" s="2" customFormat="1" ht="20" customHeight="1" spans="1:8">
      <c r="A1476" s="5">
        <v>1474</v>
      </c>
      <c r="B1476" s="5" t="str">
        <f>"223220191123105635210150"</f>
        <v>223220191123105635210150</v>
      </c>
      <c r="C1476" s="5" t="s">
        <v>45</v>
      </c>
      <c r="D1476" s="5" t="s">
        <v>46</v>
      </c>
      <c r="E1476" s="5" t="str">
        <f>"何伟"</f>
        <v>何伟</v>
      </c>
      <c r="F1476" s="5" t="str">
        <f t="shared" si="432"/>
        <v>男</v>
      </c>
      <c r="G1476" s="5" t="str">
        <f>"1996-08-19"</f>
        <v>1996-08-19</v>
      </c>
      <c r="H1476" s="5" t="str">
        <f>"南昌大学共青学院"</f>
        <v>南昌大学共青学院</v>
      </c>
    </row>
    <row r="1477" s="2" customFormat="1" ht="20" customHeight="1" spans="1:8">
      <c r="A1477" s="5">
        <v>1475</v>
      </c>
      <c r="B1477" s="5" t="str">
        <f>"223220191123110903210167"</f>
        <v>223220191123110903210167</v>
      </c>
      <c r="C1477" s="5" t="s">
        <v>45</v>
      </c>
      <c r="D1477" s="5" t="s">
        <v>46</v>
      </c>
      <c r="E1477" s="5" t="str">
        <f>"郭青美"</f>
        <v>郭青美</v>
      </c>
      <c r="F1477" s="5" t="str">
        <f>"女"</f>
        <v>女</v>
      </c>
      <c r="G1477" s="5" t="str">
        <f>"1991-04-01"</f>
        <v>1991-04-01</v>
      </c>
      <c r="H1477" s="5" t="str">
        <f>"海南软件职业技术学院"</f>
        <v>海南软件职业技术学院</v>
      </c>
    </row>
    <row r="1478" s="2" customFormat="1" ht="20" customHeight="1" spans="1:8">
      <c r="A1478" s="5">
        <v>1476</v>
      </c>
      <c r="B1478" s="5" t="str">
        <f>"223220191123111619210180"</f>
        <v>223220191123111619210180</v>
      </c>
      <c r="C1478" s="5" t="s">
        <v>45</v>
      </c>
      <c r="D1478" s="5" t="s">
        <v>46</v>
      </c>
      <c r="E1478" s="5" t="str">
        <f>"谢锋"</f>
        <v>谢锋</v>
      </c>
      <c r="F1478" s="5" t="str">
        <f t="shared" ref="F1478:F1480" si="433">"男"</f>
        <v>男</v>
      </c>
      <c r="G1478" s="5" t="str">
        <f>"1993-08-03"</f>
        <v>1993-08-03</v>
      </c>
      <c r="H1478" s="5" t="str">
        <f>"海南工商职业学院"</f>
        <v>海南工商职业学院</v>
      </c>
    </row>
    <row r="1479" s="2" customFormat="1" ht="20" customHeight="1" spans="1:8">
      <c r="A1479" s="5">
        <v>1477</v>
      </c>
      <c r="B1479" s="5" t="str">
        <f>"223220191123153340210402"</f>
        <v>223220191123153340210402</v>
      </c>
      <c r="C1479" s="5" t="s">
        <v>45</v>
      </c>
      <c r="D1479" s="5" t="s">
        <v>46</v>
      </c>
      <c r="E1479" s="5" t="str">
        <f>"庞明亮"</f>
        <v>庞明亮</v>
      </c>
      <c r="F1479" s="5" t="str">
        <f t="shared" si="433"/>
        <v>男</v>
      </c>
      <c r="G1479" s="5" t="str">
        <f>"1974-04-01"</f>
        <v>1974-04-01</v>
      </c>
      <c r="H1479" s="5" t="str">
        <f>"中国人民解放军理工大学"</f>
        <v>中国人民解放军理工大学</v>
      </c>
    </row>
    <row r="1480" s="2" customFormat="1" ht="20" customHeight="1" spans="1:8">
      <c r="A1480" s="5">
        <v>1478</v>
      </c>
      <c r="B1480" s="5" t="str">
        <f>"223220191123153854210405"</f>
        <v>223220191123153854210405</v>
      </c>
      <c r="C1480" s="5" t="s">
        <v>45</v>
      </c>
      <c r="D1480" s="5" t="s">
        <v>46</v>
      </c>
      <c r="E1480" s="5" t="str">
        <f>"骆日刚"</f>
        <v>骆日刚</v>
      </c>
      <c r="F1480" s="5" t="str">
        <f t="shared" si="433"/>
        <v>男</v>
      </c>
      <c r="G1480" s="5" t="str">
        <f>"1993-01-11"</f>
        <v>1993-01-11</v>
      </c>
      <c r="H1480" s="5" t="str">
        <f>"河北工程大学科信学院"</f>
        <v>河北工程大学科信学院</v>
      </c>
    </row>
    <row r="1481" s="2" customFormat="1" ht="20" customHeight="1" spans="1:8">
      <c r="A1481" s="5">
        <v>1479</v>
      </c>
      <c r="B1481" s="5" t="str">
        <f>"223220191123155810210420"</f>
        <v>223220191123155810210420</v>
      </c>
      <c r="C1481" s="5" t="s">
        <v>45</v>
      </c>
      <c r="D1481" s="5" t="s">
        <v>46</v>
      </c>
      <c r="E1481" s="5" t="str">
        <f>"王美成"</f>
        <v>王美成</v>
      </c>
      <c r="F1481" s="5" t="str">
        <f>"女"</f>
        <v>女</v>
      </c>
      <c r="G1481" s="5" t="str">
        <f>"1995-07-07"</f>
        <v>1995-07-07</v>
      </c>
      <c r="H1481" s="5" t="str">
        <f>"新乡学院"</f>
        <v>新乡学院</v>
      </c>
    </row>
    <row r="1482" s="2" customFormat="1" ht="20" customHeight="1" spans="1:8">
      <c r="A1482" s="5">
        <v>1480</v>
      </c>
      <c r="B1482" s="5" t="str">
        <f>"223220191123172119210478"</f>
        <v>223220191123172119210478</v>
      </c>
      <c r="C1482" s="5" t="s">
        <v>45</v>
      </c>
      <c r="D1482" s="5" t="s">
        <v>46</v>
      </c>
      <c r="E1482" s="5" t="str">
        <f>"王新世"</f>
        <v>王新世</v>
      </c>
      <c r="F1482" s="5" t="str">
        <f t="shared" ref="F1482:F1488" si="434">"男"</f>
        <v>男</v>
      </c>
      <c r="G1482" s="5" t="str">
        <f>"1993-08-14"</f>
        <v>1993-08-14</v>
      </c>
      <c r="H1482" s="5" t="str">
        <f>"上海师范大学天华学院"</f>
        <v>上海师范大学天华学院</v>
      </c>
    </row>
    <row r="1483" s="2" customFormat="1" ht="20" customHeight="1" spans="1:8">
      <c r="A1483" s="5">
        <v>1481</v>
      </c>
      <c r="B1483" s="5" t="str">
        <f>"223220191123174915210505"</f>
        <v>223220191123174915210505</v>
      </c>
      <c r="C1483" s="5" t="s">
        <v>45</v>
      </c>
      <c r="D1483" s="5" t="s">
        <v>46</v>
      </c>
      <c r="E1483" s="5" t="str">
        <f>"陈海亮"</f>
        <v>陈海亮</v>
      </c>
      <c r="F1483" s="5" t="str">
        <f t="shared" si="434"/>
        <v>男</v>
      </c>
      <c r="G1483" s="5" t="str">
        <f>"1989-03-18"</f>
        <v>1989-03-18</v>
      </c>
      <c r="H1483" s="5" t="str">
        <f>"琼州学院"</f>
        <v>琼州学院</v>
      </c>
    </row>
    <row r="1484" s="2" customFormat="1" ht="20" customHeight="1" spans="1:8">
      <c r="A1484" s="5">
        <v>1482</v>
      </c>
      <c r="B1484" s="5" t="str">
        <f>"223220191123180136210510"</f>
        <v>223220191123180136210510</v>
      </c>
      <c r="C1484" s="5" t="s">
        <v>45</v>
      </c>
      <c r="D1484" s="5" t="s">
        <v>46</v>
      </c>
      <c r="E1484" s="5" t="str">
        <f>"黎石带"</f>
        <v>黎石带</v>
      </c>
      <c r="F1484" s="5" t="str">
        <f>"女"</f>
        <v>女</v>
      </c>
      <c r="G1484" s="5" t="str">
        <f>"1995-02-18"</f>
        <v>1995-02-18</v>
      </c>
      <c r="H1484" s="5" t="str">
        <f>"石河子大学"</f>
        <v>石河子大学</v>
      </c>
    </row>
    <row r="1485" s="2" customFormat="1" ht="20" customHeight="1" spans="1:8">
      <c r="A1485" s="5">
        <v>1483</v>
      </c>
      <c r="B1485" s="5" t="str">
        <f>"223220191123181512210522"</f>
        <v>223220191123181512210522</v>
      </c>
      <c r="C1485" s="5" t="s">
        <v>45</v>
      </c>
      <c r="D1485" s="5" t="s">
        <v>46</v>
      </c>
      <c r="E1485" s="5" t="str">
        <f>"吴国赞"</f>
        <v>吴国赞</v>
      </c>
      <c r="F1485" s="5" t="str">
        <f t="shared" ref="F1485:F1488" si="435">"男"</f>
        <v>男</v>
      </c>
      <c r="G1485" s="5" t="str">
        <f>"1988-02-12"</f>
        <v>1988-02-12</v>
      </c>
      <c r="H1485" s="5" t="str">
        <f>"天津现代职业技术学院"</f>
        <v>天津现代职业技术学院</v>
      </c>
    </row>
    <row r="1486" s="2" customFormat="1" ht="20" customHeight="1" spans="1:8">
      <c r="A1486" s="5">
        <v>1484</v>
      </c>
      <c r="B1486" s="5" t="str">
        <f>"223220191123182050210528"</f>
        <v>223220191123182050210528</v>
      </c>
      <c r="C1486" s="5" t="s">
        <v>45</v>
      </c>
      <c r="D1486" s="5" t="s">
        <v>46</v>
      </c>
      <c r="E1486" s="5" t="str">
        <f>"黎发权"</f>
        <v>黎发权</v>
      </c>
      <c r="F1486" s="5" t="str">
        <f t="shared" si="435"/>
        <v>男</v>
      </c>
      <c r="G1486" s="5" t="str">
        <f>"1997-05-16"</f>
        <v>1997-05-16</v>
      </c>
      <c r="H1486" s="5" t="str">
        <f>"海南软件职业技术学院"</f>
        <v>海南软件职业技术学院</v>
      </c>
    </row>
    <row r="1487" s="2" customFormat="1" ht="20" customHeight="1" spans="1:8">
      <c r="A1487" s="5">
        <v>1485</v>
      </c>
      <c r="B1487" s="5" t="str">
        <f>"223220191123200843210608"</f>
        <v>223220191123200843210608</v>
      </c>
      <c r="C1487" s="5" t="s">
        <v>45</v>
      </c>
      <c r="D1487" s="5" t="s">
        <v>46</v>
      </c>
      <c r="E1487" s="5" t="str">
        <f>"蔡型楷"</f>
        <v>蔡型楷</v>
      </c>
      <c r="F1487" s="5" t="str">
        <f t="shared" si="435"/>
        <v>男</v>
      </c>
      <c r="G1487" s="5" t="str">
        <f>"1994-05-04"</f>
        <v>1994-05-04</v>
      </c>
      <c r="H1487" s="5" t="str">
        <f>"晋中学院"</f>
        <v>晋中学院</v>
      </c>
    </row>
    <row r="1488" s="2" customFormat="1" ht="20" customHeight="1" spans="1:8">
      <c r="A1488" s="5">
        <v>1486</v>
      </c>
      <c r="B1488" s="5" t="str">
        <f>"223220191123204935210648"</f>
        <v>223220191123204935210648</v>
      </c>
      <c r="C1488" s="5" t="s">
        <v>45</v>
      </c>
      <c r="D1488" s="5" t="s">
        <v>46</v>
      </c>
      <c r="E1488" s="5" t="str">
        <f>"李学珍"</f>
        <v>李学珍</v>
      </c>
      <c r="F1488" s="5" t="str">
        <f t="shared" si="435"/>
        <v>男</v>
      </c>
      <c r="G1488" s="5" t="str">
        <f>"1989-09-27"</f>
        <v>1989-09-27</v>
      </c>
      <c r="H1488" s="5" t="str">
        <f>"福州职业技术学院"</f>
        <v>福州职业技术学院</v>
      </c>
    </row>
    <row r="1489" s="2" customFormat="1" ht="20" customHeight="1" spans="1:8">
      <c r="A1489" s="5">
        <v>1487</v>
      </c>
      <c r="B1489" s="5" t="str">
        <f>"223220191123213140210673"</f>
        <v>223220191123213140210673</v>
      </c>
      <c r="C1489" s="5" t="s">
        <v>45</v>
      </c>
      <c r="D1489" s="5" t="s">
        <v>46</v>
      </c>
      <c r="E1489" s="5" t="str">
        <f>"李秀娟"</f>
        <v>李秀娟</v>
      </c>
      <c r="F1489" s="5" t="str">
        <f t="shared" ref="F1489:F1492" si="436">"女"</f>
        <v>女</v>
      </c>
      <c r="G1489" s="5" t="str">
        <f>"1994-01-26"</f>
        <v>1994-01-26</v>
      </c>
      <c r="H1489" s="5" t="str">
        <f>"长春财经学院"</f>
        <v>长春财经学院</v>
      </c>
    </row>
    <row r="1490" s="2" customFormat="1" ht="20" customHeight="1" spans="1:8">
      <c r="A1490" s="5">
        <v>1488</v>
      </c>
      <c r="B1490" s="5" t="str">
        <f>"223220191123224132210708"</f>
        <v>223220191123224132210708</v>
      </c>
      <c r="C1490" s="5" t="s">
        <v>45</v>
      </c>
      <c r="D1490" s="5" t="s">
        <v>46</v>
      </c>
      <c r="E1490" s="5" t="str">
        <f>"李小叶"</f>
        <v>李小叶</v>
      </c>
      <c r="F1490" s="5" t="str">
        <f t="shared" si="436"/>
        <v>女</v>
      </c>
      <c r="G1490" s="5" t="str">
        <f>"1992-05-01"</f>
        <v>1992-05-01</v>
      </c>
      <c r="H1490" s="5" t="str">
        <f>"常州大学"</f>
        <v>常州大学</v>
      </c>
    </row>
    <row r="1491" s="2" customFormat="1" ht="20" customHeight="1" spans="1:8">
      <c r="A1491" s="5">
        <v>1489</v>
      </c>
      <c r="B1491" s="5" t="str">
        <f>"223220191123234354210745"</f>
        <v>223220191123234354210745</v>
      </c>
      <c r="C1491" s="5" t="s">
        <v>45</v>
      </c>
      <c r="D1491" s="5" t="s">
        <v>46</v>
      </c>
      <c r="E1491" s="5" t="str">
        <f>"羊富连"</f>
        <v>羊富连</v>
      </c>
      <c r="F1491" s="5" t="str">
        <f t="shared" si="436"/>
        <v>女</v>
      </c>
      <c r="G1491" s="5" t="str">
        <f>"1993-06-12"</f>
        <v>1993-06-12</v>
      </c>
      <c r="H1491" s="5" t="str">
        <f>"桂林理工大学"</f>
        <v>桂林理工大学</v>
      </c>
    </row>
    <row r="1492" s="2" customFormat="1" ht="20" customHeight="1" spans="1:8">
      <c r="A1492" s="5">
        <v>1490</v>
      </c>
      <c r="B1492" s="5" t="str">
        <f>"223220191124084516210778"</f>
        <v>223220191124084516210778</v>
      </c>
      <c r="C1492" s="5" t="s">
        <v>45</v>
      </c>
      <c r="D1492" s="5" t="s">
        <v>46</v>
      </c>
      <c r="E1492" s="5" t="str">
        <f>"李仙爱"</f>
        <v>李仙爱</v>
      </c>
      <c r="F1492" s="5" t="str">
        <f t="shared" si="436"/>
        <v>女</v>
      </c>
      <c r="G1492" s="5" t="str">
        <f>"1995-10-13"</f>
        <v>1995-10-13</v>
      </c>
      <c r="H1492" s="5" t="str">
        <f>"运城学院"</f>
        <v>运城学院</v>
      </c>
    </row>
    <row r="1493" s="2" customFormat="1" ht="20" customHeight="1" spans="1:8">
      <c r="A1493" s="5">
        <v>1491</v>
      </c>
      <c r="B1493" s="5" t="str">
        <f>"223220191124090015210783"</f>
        <v>223220191124090015210783</v>
      </c>
      <c r="C1493" s="5" t="s">
        <v>45</v>
      </c>
      <c r="D1493" s="5" t="s">
        <v>46</v>
      </c>
      <c r="E1493" s="5" t="str">
        <f>"王有伦"</f>
        <v>王有伦</v>
      </c>
      <c r="F1493" s="5" t="str">
        <f t="shared" ref="F1493:F1496" si="437">"男"</f>
        <v>男</v>
      </c>
      <c r="G1493" s="5" t="str">
        <f>"1995-08-20"</f>
        <v>1995-08-20</v>
      </c>
      <c r="H1493" s="5" t="str">
        <f>"湖南机电职业技术学院"</f>
        <v>湖南机电职业技术学院</v>
      </c>
    </row>
    <row r="1494" s="2" customFormat="1" ht="20" customHeight="1" spans="1:8">
      <c r="A1494" s="5">
        <v>1492</v>
      </c>
      <c r="B1494" s="5" t="str">
        <f>"223220191124092315210796"</f>
        <v>223220191124092315210796</v>
      </c>
      <c r="C1494" s="5" t="s">
        <v>45</v>
      </c>
      <c r="D1494" s="5" t="s">
        <v>46</v>
      </c>
      <c r="E1494" s="5" t="str">
        <f>"羊雄强"</f>
        <v>羊雄强</v>
      </c>
      <c r="F1494" s="5" t="str">
        <f t="shared" si="437"/>
        <v>男</v>
      </c>
      <c r="G1494" s="5" t="str">
        <f>"1988-07-29"</f>
        <v>1988-07-29</v>
      </c>
      <c r="H1494" s="5" t="str">
        <f>"中国人民解放军国防信息学院"</f>
        <v>中国人民解放军国防信息学院</v>
      </c>
    </row>
    <row r="1495" s="2" customFormat="1" ht="20" customHeight="1" spans="1:8">
      <c r="A1495" s="5">
        <v>1493</v>
      </c>
      <c r="B1495" s="5" t="str">
        <f>"223220191124093618210806"</f>
        <v>223220191124093618210806</v>
      </c>
      <c r="C1495" s="5" t="s">
        <v>45</v>
      </c>
      <c r="D1495" s="5" t="s">
        <v>46</v>
      </c>
      <c r="E1495" s="5" t="str">
        <f>"郑永光"</f>
        <v>郑永光</v>
      </c>
      <c r="F1495" s="5" t="str">
        <f t="shared" si="437"/>
        <v>男</v>
      </c>
      <c r="G1495" s="5" t="str">
        <f>"1989-08-07"</f>
        <v>1989-08-07</v>
      </c>
      <c r="H1495" s="5" t="str">
        <f>"湖北理工学院"</f>
        <v>湖北理工学院</v>
      </c>
    </row>
    <row r="1496" s="2" customFormat="1" ht="20" customHeight="1" spans="1:8">
      <c r="A1496" s="5">
        <v>1494</v>
      </c>
      <c r="B1496" s="5" t="str">
        <f>"223220191124120419210949"</f>
        <v>223220191124120419210949</v>
      </c>
      <c r="C1496" s="5" t="s">
        <v>45</v>
      </c>
      <c r="D1496" s="5" t="s">
        <v>46</v>
      </c>
      <c r="E1496" s="5" t="str">
        <f>"林伟伟"</f>
        <v>林伟伟</v>
      </c>
      <c r="F1496" s="5" t="str">
        <f t="shared" si="437"/>
        <v>男</v>
      </c>
      <c r="G1496" s="5" t="str">
        <f>"1992-03-08"</f>
        <v>1992-03-08</v>
      </c>
      <c r="H1496" s="5" t="str">
        <f>"广西民族大学"</f>
        <v>广西民族大学</v>
      </c>
    </row>
    <row r="1497" s="2" customFormat="1" ht="20" customHeight="1" spans="1:8">
      <c r="A1497" s="5">
        <v>1495</v>
      </c>
      <c r="B1497" s="5" t="str">
        <f>"223220191124125648210995"</f>
        <v>223220191124125648210995</v>
      </c>
      <c r="C1497" s="5" t="s">
        <v>45</v>
      </c>
      <c r="D1497" s="5" t="s">
        <v>46</v>
      </c>
      <c r="E1497" s="5" t="str">
        <f>"张为爱"</f>
        <v>张为爱</v>
      </c>
      <c r="F1497" s="5" t="str">
        <f t="shared" ref="F1497:F1504" si="438">"女"</f>
        <v>女</v>
      </c>
      <c r="G1497" s="5" t="str">
        <f>"1991-01-01"</f>
        <v>1991-01-01</v>
      </c>
      <c r="H1497" s="5" t="str">
        <f>"湖南工学院"</f>
        <v>湖南工学院</v>
      </c>
    </row>
    <row r="1498" s="2" customFormat="1" ht="20" customHeight="1" spans="1:8">
      <c r="A1498" s="5">
        <v>1496</v>
      </c>
      <c r="B1498" s="5" t="str">
        <f>"223220191124132106211017"</f>
        <v>223220191124132106211017</v>
      </c>
      <c r="C1498" s="5" t="s">
        <v>45</v>
      </c>
      <c r="D1498" s="5" t="s">
        <v>46</v>
      </c>
      <c r="E1498" s="5" t="str">
        <f>"林晓"</f>
        <v>林晓</v>
      </c>
      <c r="F1498" s="5" t="str">
        <f t="shared" si="438"/>
        <v>女</v>
      </c>
      <c r="G1498" s="5" t="str">
        <f>"1996-07-28"</f>
        <v>1996-07-28</v>
      </c>
      <c r="H1498" s="5" t="str">
        <f>"咸宁职业技术学院"</f>
        <v>咸宁职业技术学院</v>
      </c>
    </row>
    <row r="1499" s="2" customFormat="1" ht="20" customHeight="1" spans="1:8">
      <c r="A1499" s="5">
        <v>1497</v>
      </c>
      <c r="B1499" s="5" t="str">
        <f>"223220191124132558211024"</f>
        <v>223220191124132558211024</v>
      </c>
      <c r="C1499" s="5" t="s">
        <v>45</v>
      </c>
      <c r="D1499" s="5" t="s">
        <v>46</v>
      </c>
      <c r="E1499" s="5" t="str">
        <f>"洪增华"</f>
        <v>洪增华</v>
      </c>
      <c r="F1499" s="5" t="str">
        <f>"男"</f>
        <v>男</v>
      </c>
      <c r="G1499" s="5" t="str">
        <f>"1995-08-25"</f>
        <v>1995-08-25</v>
      </c>
      <c r="H1499" s="5" t="str">
        <f>"内蒙古师范大学"</f>
        <v>内蒙古师范大学</v>
      </c>
    </row>
    <row r="1500" s="2" customFormat="1" ht="20" customHeight="1" spans="1:8">
      <c r="A1500" s="5">
        <v>1498</v>
      </c>
      <c r="B1500" s="5" t="str">
        <f>"223220191124152951211112"</f>
        <v>223220191124152951211112</v>
      </c>
      <c r="C1500" s="5" t="s">
        <v>45</v>
      </c>
      <c r="D1500" s="5" t="s">
        <v>46</v>
      </c>
      <c r="E1500" s="5" t="str">
        <f>"李平"</f>
        <v>李平</v>
      </c>
      <c r="F1500" s="5" t="str">
        <f>"男"</f>
        <v>男</v>
      </c>
      <c r="G1500" s="5" t="str">
        <f>"1993-06-21"</f>
        <v>1993-06-21</v>
      </c>
      <c r="H1500" s="5" t="str">
        <f>"重庆工商职业学院"</f>
        <v>重庆工商职业学院</v>
      </c>
    </row>
    <row r="1501" s="2" customFormat="1" ht="20" customHeight="1" spans="1:8">
      <c r="A1501" s="5">
        <v>1499</v>
      </c>
      <c r="B1501" s="5" t="str">
        <f>"223220191124155624211127"</f>
        <v>223220191124155624211127</v>
      </c>
      <c r="C1501" s="5" t="s">
        <v>45</v>
      </c>
      <c r="D1501" s="5" t="s">
        <v>46</v>
      </c>
      <c r="E1501" s="5" t="str">
        <f>"吴颖颖"</f>
        <v>吴颖颖</v>
      </c>
      <c r="F1501" s="5" t="str">
        <f t="shared" ref="F1501:F1504" si="439">"女"</f>
        <v>女</v>
      </c>
      <c r="G1501" s="5" t="str">
        <f>"1992-03-18"</f>
        <v>1992-03-18</v>
      </c>
      <c r="H1501" s="5" t="str">
        <f>"四川农业大学"</f>
        <v>四川农业大学</v>
      </c>
    </row>
    <row r="1502" s="2" customFormat="1" ht="20" customHeight="1" spans="1:8">
      <c r="A1502" s="5">
        <v>1500</v>
      </c>
      <c r="B1502" s="5" t="str">
        <f>"223220191124162653211150"</f>
        <v>223220191124162653211150</v>
      </c>
      <c r="C1502" s="5" t="s">
        <v>45</v>
      </c>
      <c r="D1502" s="5" t="s">
        <v>46</v>
      </c>
      <c r="E1502" s="5" t="str">
        <f>"吴贵桃"</f>
        <v>吴贵桃</v>
      </c>
      <c r="F1502" s="5" t="str">
        <f t="shared" si="439"/>
        <v>女</v>
      </c>
      <c r="G1502" s="5" t="str">
        <f>"1992-06-07"</f>
        <v>1992-06-07</v>
      </c>
      <c r="H1502" s="5" t="str">
        <f>"华南师范大学"</f>
        <v>华南师范大学</v>
      </c>
    </row>
    <row r="1503" s="2" customFormat="1" ht="20" customHeight="1" spans="1:8">
      <c r="A1503" s="5">
        <v>1501</v>
      </c>
      <c r="B1503" s="5" t="str">
        <f>"223220191124163249211156"</f>
        <v>223220191124163249211156</v>
      </c>
      <c r="C1503" s="5" t="s">
        <v>45</v>
      </c>
      <c r="D1503" s="5" t="s">
        <v>46</v>
      </c>
      <c r="E1503" s="5" t="str">
        <f>"李丽娜"</f>
        <v>李丽娜</v>
      </c>
      <c r="F1503" s="5" t="str">
        <f t="shared" si="439"/>
        <v>女</v>
      </c>
      <c r="G1503" s="5" t="str">
        <f>"1993-10-08"</f>
        <v>1993-10-08</v>
      </c>
      <c r="H1503" s="5" t="str">
        <f>"湖南工程职业技术学院"</f>
        <v>湖南工程职业技术学院</v>
      </c>
    </row>
    <row r="1504" s="2" customFormat="1" ht="20" customHeight="1" spans="1:8">
      <c r="A1504" s="5">
        <v>1502</v>
      </c>
      <c r="B1504" s="5" t="str">
        <f>"223220191124172014211181"</f>
        <v>223220191124172014211181</v>
      </c>
      <c r="C1504" s="5" t="s">
        <v>45</v>
      </c>
      <c r="D1504" s="5" t="s">
        <v>46</v>
      </c>
      <c r="E1504" s="5" t="str">
        <f>"陈振玲"</f>
        <v>陈振玲</v>
      </c>
      <c r="F1504" s="5" t="str">
        <f t="shared" si="439"/>
        <v>女</v>
      </c>
      <c r="G1504" s="5" t="str">
        <f>"1994-03-05"</f>
        <v>1994-03-05</v>
      </c>
      <c r="H1504" s="5" t="str">
        <f>"海南热带海洋学院"</f>
        <v>海南热带海洋学院</v>
      </c>
    </row>
    <row r="1505" s="2" customFormat="1" ht="20" customHeight="1" spans="1:8">
      <c r="A1505" s="5">
        <v>1503</v>
      </c>
      <c r="B1505" s="5" t="str">
        <f>"223220191124180712211213"</f>
        <v>223220191124180712211213</v>
      </c>
      <c r="C1505" s="5" t="s">
        <v>45</v>
      </c>
      <c r="D1505" s="5" t="s">
        <v>46</v>
      </c>
      <c r="E1505" s="5" t="str">
        <f>"何德超"</f>
        <v>何德超</v>
      </c>
      <c r="F1505" s="5" t="str">
        <f t="shared" ref="F1505:F1510" si="440">"男"</f>
        <v>男</v>
      </c>
      <c r="G1505" s="5" t="str">
        <f>"1993-11-18"</f>
        <v>1993-11-18</v>
      </c>
      <c r="H1505" s="5" t="str">
        <f>"湘潭大学"</f>
        <v>湘潭大学</v>
      </c>
    </row>
    <row r="1506" s="2" customFormat="1" ht="20" customHeight="1" spans="1:8">
      <c r="A1506" s="5">
        <v>1504</v>
      </c>
      <c r="B1506" s="5" t="str">
        <f>"223220191124182509211228"</f>
        <v>223220191124182509211228</v>
      </c>
      <c r="C1506" s="5" t="s">
        <v>45</v>
      </c>
      <c r="D1506" s="5" t="s">
        <v>46</v>
      </c>
      <c r="E1506" s="5" t="str">
        <f>"孙国德"</f>
        <v>孙国德</v>
      </c>
      <c r="F1506" s="5" t="str">
        <f t="shared" si="440"/>
        <v>男</v>
      </c>
      <c r="G1506" s="5" t="str">
        <f>"1988-06-12"</f>
        <v>1988-06-12</v>
      </c>
      <c r="H1506" s="5" t="str">
        <f>"黑龙江工程学院"</f>
        <v>黑龙江工程学院</v>
      </c>
    </row>
    <row r="1507" s="2" customFormat="1" ht="20" customHeight="1" spans="1:8">
      <c r="A1507" s="5">
        <v>1505</v>
      </c>
      <c r="B1507" s="5" t="str">
        <f>"223220191124182944211233"</f>
        <v>223220191124182944211233</v>
      </c>
      <c r="C1507" s="5" t="s">
        <v>45</v>
      </c>
      <c r="D1507" s="5" t="s">
        <v>46</v>
      </c>
      <c r="E1507" s="5" t="str">
        <f>"郑家珠"</f>
        <v>郑家珠</v>
      </c>
      <c r="F1507" s="5" t="str">
        <f>"女"</f>
        <v>女</v>
      </c>
      <c r="G1507" s="5" t="str">
        <f>"1989-08-03"</f>
        <v>1989-08-03</v>
      </c>
      <c r="H1507" s="5" t="str">
        <f>"琼台师范高等专科学校"</f>
        <v>琼台师范高等专科学校</v>
      </c>
    </row>
    <row r="1508" s="2" customFormat="1" ht="20" customHeight="1" spans="1:8">
      <c r="A1508" s="5">
        <v>1506</v>
      </c>
      <c r="B1508" s="5" t="str">
        <f>"223220191124194050211284"</f>
        <v>223220191124194050211284</v>
      </c>
      <c r="C1508" s="5" t="s">
        <v>45</v>
      </c>
      <c r="D1508" s="5" t="s">
        <v>46</v>
      </c>
      <c r="E1508" s="5" t="str">
        <f>"谢明花"</f>
        <v>谢明花</v>
      </c>
      <c r="F1508" s="5" t="str">
        <f>"女"</f>
        <v>女</v>
      </c>
      <c r="G1508" s="5" t="str">
        <f>"1996-01-11"</f>
        <v>1996-01-11</v>
      </c>
      <c r="H1508" s="5" t="str">
        <f>"海口经济学院"</f>
        <v>海口经济学院</v>
      </c>
    </row>
    <row r="1509" s="2" customFormat="1" ht="20" customHeight="1" spans="1:8">
      <c r="A1509" s="5">
        <v>1507</v>
      </c>
      <c r="B1509" s="5" t="str">
        <f>"223220191124194120211285"</f>
        <v>223220191124194120211285</v>
      </c>
      <c r="C1509" s="5" t="s">
        <v>45</v>
      </c>
      <c r="D1509" s="5" t="s">
        <v>46</v>
      </c>
      <c r="E1509" s="5" t="str">
        <f>"李永平"</f>
        <v>李永平</v>
      </c>
      <c r="F1509" s="5" t="str">
        <f>"男"</f>
        <v>男</v>
      </c>
      <c r="G1509" s="5" t="str">
        <f>"1992-08-17"</f>
        <v>1992-08-17</v>
      </c>
      <c r="H1509" s="5" t="str">
        <f>"广西工程职业学院"</f>
        <v>广西工程职业学院</v>
      </c>
    </row>
    <row r="1510" s="2" customFormat="1" ht="20" customHeight="1" spans="1:8">
      <c r="A1510" s="5">
        <v>1508</v>
      </c>
      <c r="B1510" s="5" t="str">
        <f>"223220191124200830211310"</f>
        <v>223220191124200830211310</v>
      </c>
      <c r="C1510" s="5" t="s">
        <v>45</v>
      </c>
      <c r="D1510" s="5" t="s">
        <v>46</v>
      </c>
      <c r="E1510" s="5" t="str">
        <f>"曾常泽"</f>
        <v>曾常泽</v>
      </c>
      <c r="F1510" s="5" t="str">
        <f>"男"</f>
        <v>男</v>
      </c>
      <c r="G1510" s="5" t="str">
        <f>"1990-03-02"</f>
        <v>1990-03-02</v>
      </c>
      <c r="H1510" s="5" t="str">
        <f>"琼台师范高等专科学校"</f>
        <v>琼台师范高等专科学校</v>
      </c>
    </row>
    <row r="1511" s="2" customFormat="1" ht="20" customHeight="1" spans="1:8">
      <c r="A1511" s="5">
        <v>1509</v>
      </c>
      <c r="B1511" s="5" t="str">
        <f>"223220191124213237211400"</f>
        <v>223220191124213237211400</v>
      </c>
      <c r="C1511" s="5" t="s">
        <v>45</v>
      </c>
      <c r="D1511" s="5" t="s">
        <v>46</v>
      </c>
      <c r="E1511" s="5" t="str">
        <f>"廖琼青"</f>
        <v>廖琼青</v>
      </c>
      <c r="F1511" s="5" t="str">
        <f t="shared" ref="F1511:F1516" si="441">"女"</f>
        <v>女</v>
      </c>
      <c r="G1511" s="5" t="str">
        <f>"1993-06-13"</f>
        <v>1993-06-13</v>
      </c>
      <c r="H1511" s="5" t="str">
        <f>"东北石油大学"</f>
        <v>东北石油大学</v>
      </c>
    </row>
    <row r="1512" s="2" customFormat="1" ht="20" customHeight="1" spans="1:8">
      <c r="A1512" s="5">
        <v>1510</v>
      </c>
      <c r="B1512" s="5" t="str">
        <f>"223220191124222436211436"</f>
        <v>223220191124222436211436</v>
      </c>
      <c r="C1512" s="5" t="s">
        <v>45</v>
      </c>
      <c r="D1512" s="5" t="s">
        <v>46</v>
      </c>
      <c r="E1512" s="5" t="str">
        <f>"王彩鹃"</f>
        <v>王彩鹃</v>
      </c>
      <c r="F1512" s="5" t="str">
        <f t="shared" si="441"/>
        <v>女</v>
      </c>
      <c r="G1512" s="5" t="str">
        <f>"1993-03-08"</f>
        <v>1993-03-08</v>
      </c>
      <c r="H1512" s="5" t="str">
        <f>"海口经济学院"</f>
        <v>海口经济学院</v>
      </c>
    </row>
    <row r="1513" s="2" customFormat="1" ht="20" customHeight="1" spans="1:8">
      <c r="A1513" s="5">
        <v>1511</v>
      </c>
      <c r="B1513" s="5" t="str">
        <f>"223220191125084441211547"</f>
        <v>223220191125084441211547</v>
      </c>
      <c r="C1513" s="5" t="s">
        <v>45</v>
      </c>
      <c r="D1513" s="5" t="s">
        <v>46</v>
      </c>
      <c r="E1513" s="5" t="str">
        <f>"万新娥"</f>
        <v>万新娥</v>
      </c>
      <c r="F1513" s="5" t="str">
        <f t="shared" si="441"/>
        <v>女</v>
      </c>
      <c r="G1513" s="5" t="str">
        <f>"1988-02-29"</f>
        <v>1988-02-29</v>
      </c>
      <c r="H1513" s="5" t="str">
        <f>"南京陆军指挥学院"</f>
        <v>南京陆军指挥学院</v>
      </c>
    </row>
    <row r="1514" s="2" customFormat="1" ht="20" customHeight="1" spans="1:8">
      <c r="A1514" s="5">
        <v>1512</v>
      </c>
      <c r="B1514" s="5" t="str">
        <f>"223220191125085003211561"</f>
        <v>223220191125085003211561</v>
      </c>
      <c r="C1514" s="5" t="s">
        <v>45</v>
      </c>
      <c r="D1514" s="5" t="s">
        <v>46</v>
      </c>
      <c r="E1514" s="5" t="str">
        <f>"陈芳"</f>
        <v>陈芳</v>
      </c>
      <c r="F1514" s="5" t="str">
        <f t="shared" si="441"/>
        <v>女</v>
      </c>
      <c r="G1514" s="5" t="str">
        <f>"1994-12-08"</f>
        <v>1994-12-08</v>
      </c>
      <c r="H1514" s="5" t="str">
        <f>"琼台师范学院"</f>
        <v>琼台师范学院</v>
      </c>
    </row>
    <row r="1515" s="2" customFormat="1" ht="20" customHeight="1" spans="1:8">
      <c r="A1515" s="5">
        <v>1513</v>
      </c>
      <c r="B1515" s="5" t="str">
        <f>"223220191125090033211586"</f>
        <v>223220191125090033211586</v>
      </c>
      <c r="C1515" s="5" t="s">
        <v>45</v>
      </c>
      <c r="D1515" s="5" t="s">
        <v>46</v>
      </c>
      <c r="E1515" s="5" t="str">
        <f>"阮映梅"</f>
        <v>阮映梅</v>
      </c>
      <c r="F1515" s="5" t="str">
        <f t="shared" si="441"/>
        <v>女</v>
      </c>
      <c r="G1515" s="5" t="str">
        <f>"1993-06-04"</f>
        <v>1993-06-04</v>
      </c>
      <c r="H1515" s="5" t="str">
        <f>"青岛农业大学"</f>
        <v>青岛农业大学</v>
      </c>
    </row>
    <row r="1516" s="2" customFormat="1" ht="20" customHeight="1" spans="1:8">
      <c r="A1516" s="5">
        <v>1514</v>
      </c>
      <c r="B1516" s="5" t="str">
        <f>"223220191125092014211631"</f>
        <v>223220191125092014211631</v>
      </c>
      <c r="C1516" s="5" t="s">
        <v>45</v>
      </c>
      <c r="D1516" s="5" t="s">
        <v>46</v>
      </c>
      <c r="E1516" s="5" t="str">
        <f>"黎梅欢"</f>
        <v>黎梅欢</v>
      </c>
      <c r="F1516" s="5" t="str">
        <f t="shared" si="441"/>
        <v>女</v>
      </c>
      <c r="G1516" s="5" t="str">
        <f>"1996-01-08"</f>
        <v>1996-01-08</v>
      </c>
      <c r="H1516" s="5" t="str">
        <f>"琼台师范高等专科学校"</f>
        <v>琼台师范高等专科学校</v>
      </c>
    </row>
    <row r="1517" s="2" customFormat="1" ht="20" customHeight="1" spans="1:8">
      <c r="A1517" s="5">
        <v>1515</v>
      </c>
      <c r="B1517" s="5" t="str">
        <f>"223220191125093508211668"</f>
        <v>223220191125093508211668</v>
      </c>
      <c r="C1517" s="5" t="s">
        <v>45</v>
      </c>
      <c r="D1517" s="5" t="s">
        <v>46</v>
      </c>
      <c r="E1517" s="5" t="str">
        <f>"黎贤多"</f>
        <v>黎贤多</v>
      </c>
      <c r="F1517" s="5" t="str">
        <f t="shared" ref="F1517:F1523" si="442">"男"</f>
        <v>男</v>
      </c>
      <c r="G1517" s="5" t="str">
        <f>"1993-10-12"</f>
        <v>1993-10-12</v>
      </c>
      <c r="H1517" s="5" t="str">
        <f>"河南理工大学"</f>
        <v>河南理工大学</v>
      </c>
    </row>
    <row r="1518" s="2" customFormat="1" ht="20" customHeight="1" spans="1:8">
      <c r="A1518" s="5">
        <v>1516</v>
      </c>
      <c r="B1518" s="5" t="str">
        <f>"223220191125100629211735"</f>
        <v>223220191125100629211735</v>
      </c>
      <c r="C1518" s="5" t="s">
        <v>45</v>
      </c>
      <c r="D1518" s="5" t="s">
        <v>46</v>
      </c>
      <c r="E1518" s="5" t="str">
        <f>"赵阿梨"</f>
        <v>赵阿梨</v>
      </c>
      <c r="F1518" s="5" t="str">
        <f t="shared" ref="F1518:F1521" si="443">"女"</f>
        <v>女</v>
      </c>
      <c r="G1518" s="5" t="str">
        <f>"1989-07-10"</f>
        <v>1989-07-10</v>
      </c>
      <c r="H1518" s="5" t="str">
        <f>"衡水学院"</f>
        <v>衡水学院</v>
      </c>
    </row>
    <row r="1519" s="2" customFormat="1" ht="20" customHeight="1" spans="1:8">
      <c r="A1519" s="5">
        <v>1517</v>
      </c>
      <c r="B1519" s="5" t="str">
        <f>"223220191125101054211744"</f>
        <v>223220191125101054211744</v>
      </c>
      <c r="C1519" s="5" t="s">
        <v>45</v>
      </c>
      <c r="D1519" s="5" t="s">
        <v>46</v>
      </c>
      <c r="E1519" s="5" t="str">
        <f>"黎令土"</f>
        <v>黎令土</v>
      </c>
      <c r="F1519" s="5" t="str">
        <f t="shared" ref="F1519:F1523" si="444">"男"</f>
        <v>男</v>
      </c>
      <c r="G1519" s="5" t="str">
        <f>"1993-09-08"</f>
        <v>1993-09-08</v>
      </c>
      <c r="H1519" s="5" t="str">
        <f>"楚雄师范学院"</f>
        <v>楚雄师范学院</v>
      </c>
    </row>
    <row r="1520" s="2" customFormat="1" ht="20" customHeight="1" spans="1:8">
      <c r="A1520" s="5">
        <v>1518</v>
      </c>
      <c r="B1520" s="5" t="str">
        <f>"223220191125104725211808"</f>
        <v>223220191125104725211808</v>
      </c>
      <c r="C1520" s="5" t="s">
        <v>45</v>
      </c>
      <c r="D1520" s="5" t="s">
        <v>46</v>
      </c>
      <c r="E1520" s="5" t="str">
        <f>"徐斯桦"</f>
        <v>徐斯桦</v>
      </c>
      <c r="F1520" s="5" t="str">
        <f>"女"</f>
        <v>女</v>
      </c>
      <c r="G1520" s="5" t="str">
        <f>"1990-12-17"</f>
        <v>1990-12-17</v>
      </c>
      <c r="H1520" s="5" t="str">
        <f>"海口经济学院"</f>
        <v>海口经济学院</v>
      </c>
    </row>
    <row r="1521" s="2" customFormat="1" ht="20" customHeight="1" spans="1:8">
      <c r="A1521" s="5">
        <v>1519</v>
      </c>
      <c r="B1521" s="5" t="str">
        <f>"223220191125110052211836"</f>
        <v>223220191125110052211836</v>
      </c>
      <c r="C1521" s="5" t="s">
        <v>45</v>
      </c>
      <c r="D1521" s="5" t="s">
        <v>46</v>
      </c>
      <c r="E1521" s="5" t="str">
        <f>"刘虹燕"</f>
        <v>刘虹燕</v>
      </c>
      <c r="F1521" s="5" t="str">
        <f>"女"</f>
        <v>女</v>
      </c>
      <c r="G1521" s="5" t="str">
        <f>"1995-05-27"</f>
        <v>1995-05-27</v>
      </c>
      <c r="H1521" s="5" t="str">
        <f>"长沙理工大学城南学院"</f>
        <v>长沙理工大学城南学院</v>
      </c>
    </row>
    <row r="1522" s="2" customFormat="1" ht="20" customHeight="1" spans="1:8">
      <c r="A1522" s="5">
        <v>1520</v>
      </c>
      <c r="B1522" s="5" t="str">
        <f>"223220191125110450211843"</f>
        <v>223220191125110450211843</v>
      </c>
      <c r="C1522" s="5" t="s">
        <v>45</v>
      </c>
      <c r="D1522" s="5" t="s">
        <v>46</v>
      </c>
      <c r="E1522" s="5" t="str">
        <f>"王龙"</f>
        <v>王龙</v>
      </c>
      <c r="F1522" s="5" t="str">
        <f>"男"</f>
        <v>男</v>
      </c>
      <c r="G1522" s="5" t="str">
        <f>"1991-11-10"</f>
        <v>1991-11-10</v>
      </c>
      <c r="H1522" s="5" t="str">
        <f>"海南省三亚理工职业学院"</f>
        <v>海南省三亚理工职业学院</v>
      </c>
    </row>
    <row r="1523" s="2" customFormat="1" ht="20" customHeight="1" spans="1:8">
      <c r="A1523" s="5">
        <v>1521</v>
      </c>
      <c r="B1523" s="5" t="str">
        <f>"223220191125112602211891"</f>
        <v>223220191125112602211891</v>
      </c>
      <c r="C1523" s="5" t="s">
        <v>45</v>
      </c>
      <c r="D1523" s="5" t="s">
        <v>46</v>
      </c>
      <c r="E1523" s="5" t="str">
        <f>"曾文博"</f>
        <v>曾文博</v>
      </c>
      <c r="F1523" s="5" t="str">
        <f>"男"</f>
        <v>男</v>
      </c>
      <c r="G1523" s="5" t="str">
        <f>"1992-11-19"</f>
        <v>1992-11-19</v>
      </c>
      <c r="H1523" s="5" t="str">
        <f>"闽南理工学院"</f>
        <v>闽南理工学院</v>
      </c>
    </row>
    <row r="1524" s="2" customFormat="1" ht="20" customHeight="1" spans="1:8">
      <c r="A1524" s="5">
        <v>1522</v>
      </c>
      <c r="B1524" s="5" t="str">
        <f>"223220191125115429211957"</f>
        <v>223220191125115429211957</v>
      </c>
      <c r="C1524" s="5" t="s">
        <v>45</v>
      </c>
      <c r="D1524" s="5" t="s">
        <v>46</v>
      </c>
      <c r="E1524" s="5" t="str">
        <f>"吴莲花"</f>
        <v>吴莲花</v>
      </c>
      <c r="F1524" s="5" t="str">
        <f t="shared" ref="F1524:F1529" si="445">"女"</f>
        <v>女</v>
      </c>
      <c r="G1524" s="5" t="str">
        <f>"1994-03-14"</f>
        <v>1994-03-14</v>
      </c>
      <c r="H1524" s="5" t="str">
        <f>"海南科技职业学院"</f>
        <v>海南科技职业学院</v>
      </c>
    </row>
    <row r="1525" s="2" customFormat="1" ht="20" customHeight="1" spans="1:8">
      <c r="A1525" s="5">
        <v>1523</v>
      </c>
      <c r="B1525" s="5" t="str">
        <f>"223220191125135646212077"</f>
        <v>223220191125135646212077</v>
      </c>
      <c r="C1525" s="5" t="s">
        <v>45</v>
      </c>
      <c r="D1525" s="5" t="s">
        <v>46</v>
      </c>
      <c r="E1525" s="5" t="str">
        <f>"许伟龙"</f>
        <v>许伟龙</v>
      </c>
      <c r="F1525" s="5" t="str">
        <f t="shared" ref="F1525:F1530" si="446">"男"</f>
        <v>男</v>
      </c>
      <c r="G1525" s="5" t="str">
        <f>"1989-01-25"</f>
        <v>1989-01-25</v>
      </c>
      <c r="H1525" s="5" t="str">
        <f>"柳州城市职业学院"</f>
        <v>柳州城市职业学院</v>
      </c>
    </row>
    <row r="1526" s="2" customFormat="1" ht="20" customHeight="1" spans="1:8">
      <c r="A1526" s="5">
        <v>1524</v>
      </c>
      <c r="B1526" s="5" t="str">
        <f>"223220191125153049212215"</f>
        <v>223220191125153049212215</v>
      </c>
      <c r="C1526" s="5" t="s">
        <v>45</v>
      </c>
      <c r="D1526" s="5" t="s">
        <v>46</v>
      </c>
      <c r="E1526" s="5" t="str">
        <f>"秦霞"</f>
        <v>秦霞</v>
      </c>
      <c r="F1526" s="5" t="str">
        <f t="shared" ref="F1526:F1529" si="447">"女"</f>
        <v>女</v>
      </c>
      <c r="G1526" s="5" t="str">
        <f>"1988-09-11"</f>
        <v>1988-09-11</v>
      </c>
      <c r="H1526" s="5" t="str">
        <f>"荆楚理工学院"</f>
        <v>荆楚理工学院</v>
      </c>
    </row>
    <row r="1527" s="2" customFormat="1" ht="20" customHeight="1" spans="1:8">
      <c r="A1527" s="5">
        <v>1525</v>
      </c>
      <c r="B1527" s="5" t="str">
        <f>"223220191125153400212229"</f>
        <v>223220191125153400212229</v>
      </c>
      <c r="C1527" s="5" t="s">
        <v>45</v>
      </c>
      <c r="D1527" s="5" t="s">
        <v>46</v>
      </c>
      <c r="E1527" s="5" t="str">
        <f>"郑惠文"</f>
        <v>郑惠文</v>
      </c>
      <c r="F1527" s="5" t="str">
        <f>"男"</f>
        <v>男</v>
      </c>
      <c r="G1527" s="5" t="str">
        <f>"1994-03-01"</f>
        <v>1994-03-01</v>
      </c>
      <c r="H1527" s="5" t="str">
        <f>"海南科技职业学院"</f>
        <v>海南科技职业学院</v>
      </c>
    </row>
    <row r="1528" s="2" customFormat="1" ht="20" customHeight="1" spans="1:8">
      <c r="A1528" s="5">
        <v>1526</v>
      </c>
      <c r="B1528" s="5" t="str">
        <f>"223220191125155425212266"</f>
        <v>223220191125155425212266</v>
      </c>
      <c r="C1528" s="5" t="s">
        <v>45</v>
      </c>
      <c r="D1528" s="5" t="s">
        <v>46</v>
      </c>
      <c r="E1528" s="5" t="str">
        <f>"黎香女"</f>
        <v>黎香女</v>
      </c>
      <c r="F1528" s="5" t="str">
        <f>"女"</f>
        <v>女</v>
      </c>
      <c r="G1528" s="5" t="str">
        <f>"1991-11-04"</f>
        <v>1991-11-04</v>
      </c>
      <c r="H1528" s="5" t="str">
        <f>"海南热带海洋学院"</f>
        <v>海南热带海洋学院</v>
      </c>
    </row>
    <row r="1529" s="2" customFormat="1" ht="20" customHeight="1" spans="1:8">
      <c r="A1529" s="5">
        <v>1527</v>
      </c>
      <c r="B1529" s="5" t="str">
        <f>"223220191125161017212290"</f>
        <v>223220191125161017212290</v>
      </c>
      <c r="C1529" s="5" t="s">
        <v>45</v>
      </c>
      <c r="D1529" s="5" t="s">
        <v>46</v>
      </c>
      <c r="E1529" s="5" t="str">
        <f>"曾温娜"</f>
        <v>曾温娜</v>
      </c>
      <c r="F1529" s="5" t="str">
        <f>"女"</f>
        <v>女</v>
      </c>
      <c r="G1529" s="5" t="str">
        <f>"1984-05-18"</f>
        <v>1984-05-18</v>
      </c>
      <c r="H1529" s="5" t="str">
        <f>"南华大学"</f>
        <v>南华大学</v>
      </c>
    </row>
    <row r="1530" s="2" customFormat="1" ht="20" customHeight="1" spans="1:8">
      <c r="A1530" s="5">
        <v>1528</v>
      </c>
      <c r="B1530" s="5" t="str">
        <f>"223220191125163918212325"</f>
        <v>223220191125163918212325</v>
      </c>
      <c r="C1530" s="5" t="s">
        <v>45</v>
      </c>
      <c r="D1530" s="5" t="s">
        <v>46</v>
      </c>
      <c r="E1530" s="5" t="str">
        <f>"钟杰道"</f>
        <v>钟杰道</v>
      </c>
      <c r="F1530" s="5" t="str">
        <f>"男"</f>
        <v>男</v>
      </c>
      <c r="G1530" s="5" t="str">
        <f>"1994-03-04"</f>
        <v>1994-03-04</v>
      </c>
      <c r="H1530" s="5" t="str">
        <f>"青岛农业大学"</f>
        <v>青岛农业大学</v>
      </c>
    </row>
    <row r="1531" s="2" customFormat="1" ht="20" customHeight="1" spans="1:8">
      <c r="A1531" s="5">
        <v>1529</v>
      </c>
      <c r="B1531" s="5" t="str">
        <f>"223220191125170742212359"</f>
        <v>223220191125170742212359</v>
      </c>
      <c r="C1531" s="5" t="s">
        <v>45</v>
      </c>
      <c r="D1531" s="5" t="s">
        <v>46</v>
      </c>
      <c r="E1531" s="5" t="str">
        <f>"谢明丽"</f>
        <v>谢明丽</v>
      </c>
      <c r="F1531" s="5" t="str">
        <f t="shared" ref="F1531:F1537" si="448">"女"</f>
        <v>女</v>
      </c>
      <c r="G1531" s="5" t="str">
        <f>"1992-12-24"</f>
        <v>1992-12-24</v>
      </c>
      <c r="H1531" s="5" t="str">
        <f>"中北大学"</f>
        <v>中北大学</v>
      </c>
    </row>
    <row r="1532" s="2" customFormat="1" ht="20" customHeight="1" spans="1:8">
      <c r="A1532" s="5">
        <v>1530</v>
      </c>
      <c r="B1532" s="5" t="str">
        <f>"223220191125172314212380"</f>
        <v>223220191125172314212380</v>
      </c>
      <c r="C1532" s="5" t="s">
        <v>45</v>
      </c>
      <c r="D1532" s="5" t="s">
        <v>46</v>
      </c>
      <c r="E1532" s="5" t="str">
        <f>"张英莉"</f>
        <v>张英莉</v>
      </c>
      <c r="F1532" s="5" t="str">
        <f t="shared" si="448"/>
        <v>女</v>
      </c>
      <c r="G1532" s="5" t="str">
        <f>"1996-08-18"</f>
        <v>1996-08-18</v>
      </c>
      <c r="H1532" s="5" t="str">
        <f>"湖南工业大学科技学院"</f>
        <v>湖南工业大学科技学院</v>
      </c>
    </row>
    <row r="1533" s="2" customFormat="1" ht="20" customHeight="1" spans="1:8">
      <c r="A1533" s="5">
        <v>1531</v>
      </c>
      <c r="B1533" s="5" t="str">
        <f>"223220191125173045212391"</f>
        <v>223220191125173045212391</v>
      </c>
      <c r="C1533" s="5" t="s">
        <v>45</v>
      </c>
      <c r="D1533" s="5" t="s">
        <v>46</v>
      </c>
      <c r="E1533" s="5" t="str">
        <f>"柯茂坚"</f>
        <v>柯茂坚</v>
      </c>
      <c r="F1533" s="5" t="str">
        <f t="shared" ref="F1533:F1538" si="449">"男"</f>
        <v>男</v>
      </c>
      <c r="G1533" s="5" t="str">
        <f>"1995-06-11"</f>
        <v>1995-06-11</v>
      </c>
      <c r="H1533" s="5" t="str">
        <f>"海南科技职业技术学院"</f>
        <v>海南科技职业技术学院</v>
      </c>
    </row>
    <row r="1534" s="2" customFormat="1" ht="20" customHeight="1" spans="1:8">
      <c r="A1534" s="5">
        <v>1532</v>
      </c>
      <c r="B1534" s="5" t="str">
        <f>"223220191125174152212406"</f>
        <v>223220191125174152212406</v>
      </c>
      <c r="C1534" s="5" t="s">
        <v>45</v>
      </c>
      <c r="D1534" s="5" t="s">
        <v>46</v>
      </c>
      <c r="E1534" s="5" t="str">
        <f>"张运丰"</f>
        <v>张运丰</v>
      </c>
      <c r="F1534" s="5" t="str">
        <f t="shared" si="449"/>
        <v>男</v>
      </c>
      <c r="G1534" s="5" t="str">
        <f>"1994-02-05"</f>
        <v>1994-02-05</v>
      </c>
      <c r="H1534" s="5" t="str">
        <f>"海南大学"</f>
        <v>海南大学</v>
      </c>
    </row>
    <row r="1535" s="2" customFormat="1" ht="20" customHeight="1" spans="1:8">
      <c r="A1535" s="5">
        <v>1533</v>
      </c>
      <c r="B1535" s="5" t="str">
        <f>"223220191125175213212421"</f>
        <v>223220191125175213212421</v>
      </c>
      <c r="C1535" s="5" t="s">
        <v>45</v>
      </c>
      <c r="D1535" s="5" t="s">
        <v>46</v>
      </c>
      <c r="E1535" s="5" t="str">
        <f>"何引丁"</f>
        <v>何引丁</v>
      </c>
      <c r="F1535" s="5" t="str">
        <f t="shared" ref="F1535:F1537" si="450">"女"</f>
        <v>女</v>
      </c>
      <c r="G1535" s="5" t="str">
        <f>"1994-08-28"</f>
        <v>1994-08-28</v>
      </c>
      <c r="H1535" s="5" t="str">
        <f>"海南经贸职业技术学院"</f>
        <v>海南经贸职业技术学院</v>
      </c>
    </row>
    <row r="1536" s="2" customFormat="1" ht="20" customHeight="1" spans="1:8">
      <c r="A1536" s="5">
        <v>1534</v>
      </c>
      <c r="B1536" s="5" t="str">
        <f>"223220191125180442212444"</f>
        <v>223220191125180442212444</v>
      </c>
      <c r="C1536" s="5" t="s">
        <v>45</v>
      </c>
      <c r="D1536" s="5" t="s">
        <v>46</v>
      </c>
      <c r="E1536" s="5" t="str">
        <f>"林晶晶"</f>
        <v>林晶晶</v>
      </c>
      <c r="F1536" s="5" t="str">
        <f t="shared" si="450"/>
        <v>女</v>
      </c>
      <c r="G1536" s="5" t="str">
        <f>"1993-10-31"</f>
        <v>1993-10-31</v>
      </c>
      <c r="H1536" s="5" t="str">
        <f>"广西民族师范学院"</f>
        <v>广西民族师范学院</v>
      </c>
    </row>
    <row r="1537" s="2" customFormat="1" ht="20" customHeight="1" spans="1:8">
      <c r="A1537" s="5">
        <v>1535</v>
      </c>
      <c r="B1537" s="5" t="str">
        <f>"223220191125191618212501"</f>
        <v>223220191125191618212501</v>
      </c>
      <c r="C1537" s="5" t="s">
        <v>45</v>
      </c>
      <c r="D1537" s="5" t="s">
        <v>46</v>
      </c>
      <c r="E1537" s="5" t="str">
        <f>"郭伟联"</f>
        <v>郭伟联</v>
      </c>
      <c r="F1537" s="5" t="str">
        <f t="shared" si="450"/>
        <v>女</v>
      </c>
      <c r="G1537" s="5" t="str">
        <f>"1999-01-13"</f>
        <v>1999-01-13</v>
      </c>
      <c r="H1537" s="5" t="str">
        <f>"广西民族大学"</f>
        <v>广西民族大学</v>
      </c>
    </row>
    <row r="1538" s="2" customFormat="1" ht="20" customHeight="1" spans="1:8">
      <c r="A1538" s="5">
        <v>1536</v>
      </c>
      <c r="B1538" s="5" t="str">
        <f>"223220191125193307212522"</f>
        <v>223220191125193307212522</v>
      </c>
      <c r="C1538" s="5" t="s">
        <v>45</v>
      </c>
      <c r="D1538" s="5" t="s">
        <v>46</v>
      </c>
      <c r="E1538" s="5" t="str">
        <f>"李昭琰"</f>
        <v>李昭琰</v>
      </c>
      <c r="F1538" s="5" t="str">
        <f>"男"</f>
        <v>男</v>
      </c>
      <c r="G1538" s="5" t="str">
        <f>"1995-12-11"</f>
        <v>1995-12-11</v>
      </c>
      <c r="H1538" s="5" t="str">
        <f>"长春工业大学人文信息学院"</f>
        <v>长春工业大学人文信息学院</v>
      </c>
    </row>
    <row r="1539" s="2" customFormat="1" ht="20" customHeight="1" spans="1:8">
      <c r="A1539" s="5">
        <v>1537</v>
      </c>
      <c r="B1539" s="5" t="str">
        <f>"223220191125195435212553"</f>
        <v>223220191125195435212553</v>
      </c>
      <c r="C1539" s="5" t="s">
        <v>45</v>
      </c>
      <c r="D1539" s="5" t="s">
        <v>46</v>
      </c>
      <c r="E1539" s="5" t="str">
        <f>"陈美玲"</f>
        <v>陈美玲</v>
      </c>
      <c r="F1539" s="5" t="str">
        <f t="shared" ref="F1539:F1543" si="451">"女"</f>
        <v>女</v>
      </c>
      <c r="G1539" s="5" t="str">
        <f>"1996-08-04"</f>
        <v>1996-08-04</v>
      </c>
      <c r="H1539" s="5" t="str">
        <f>"太湖无锡学院"</f>
        <v>太湖无锡学院</v>
      </c>
    </row>
    <row r="1540" s="2" customFormat="1" ht="20" customHeight="1" spans="1:8">
      <c r="A1540" s="5">
        <v>1538</v>
      </c>
      <c r="B1540" s="5" t="str">
        <f>"223220191125200852212574"</f>
        <v>223220191125200852212574</v>
      </c>
      <c r="C1540" s="5" t="s">
        <v>45</v>
      </c>
      <c r="D1540" s="5" t="s">
        <v>46</v>
      </c>
      <c r="E1540" s="5" t="str">
        <f>"李芳继"</f>
        <v>李芳继</v>
      </c>
      <c r="F1540" s="5" t="str">
        <f t="shared" ref="F1540:F1545" si="452">"男"</f>
        <v>男</v>
      </c>
      <c r="G1540" s="5" t="str">
        <f>"1988-12-22"</f>
        <v>1988-12-22</v>
      </c>
      <c r="H1540" s="5" t="str">
        <f>"武汉生物工程学院"</f>
        <v>武汉生物工程学院</v>
      </c>
    </row>
    <row r="1541" s="2" customFormat="1" ht="20" customHeight="1" spans="1:8">
      <c r="A1541" s="5">
        <v>1539</v>
      </c>
      <c r="B1541" s="5" t="str">
        <f>"223220191125225249212783"</f>
        <v>223220191125225249212783</v>
      </c>
      <c r="C1541" s="5" t="s">
        <v>45</v>
      </c>
      <c r="D1541" s="5" t="s">
        <v>46</v>
      </c>
      <c r="E1541" s="5" t="str">
        <f>"邓丽丽"</f>
        <v>邓丽丽</v>
      </c>
      <c r="F1541" s="5" t="str">
        <f t="shared" ref="F1541:F1543" si="453">"女"</f>
        <v>女</v>
      </c>
      <c r="G1541" s="5" t="str">
        <f>"1992-09-25"</f>
        <v>1992-09-25</v>
      </c>
      <c r="H1541" s="5" t="str">
        <f>"海南工商职业学院"</f>
        <v>海南工商职业学院</v>
      </c>
    </row>
    <row r="1542" s="2" customFormat="1" ht="20" customHeight="1" spans="1:8">
      <c r="A1542" s="5">
        <v>1540</v>
      </c>
      <c r="B1542" s="5" t="str">
        <f>"223220191125230720212799"</f>
        <v>223220191125230720212799</v>
      </c>
      <c r="C1542" s="5" t="s">
        <v>45</v>
      </c>
      <c r="D1542" s="5" t="s">
        <v>46</v>
      </c>
      <c r="E1542" s="5" t="str">
        <f>"蔡三妹"</f>
        <v>蔡三妹</v>
      </c>
      <c r="F1542" s="5" t="str">
        <f t="shared" si="453"/>
        <v>女</v>
      </c>
      <c r="G1542" s="5" t="str">
        <f>"1986-05-08"</f>
        <v>1986-05-08</v>
      </c>
      <c r="H1542" s="5" t="str">
        <f>"海南琼州学院"</f>
        <v>海南琼州学院</v>
      </c>
    </row>
    <row r="1543" s="2" customFormat="1" ht="20" customHeight="1" spans="1:8">
      <c r="A1543" s="5">
        <v>1541</v>
      </c>
      <c r="B1543" s="5" t="str">
        <f>"223220191125231716212805"</f>
        <v>223220191125231716212805</v>
      </c>
      <c r="C1543" s="5" t="s">
        <v>45</v>
      </c>
      <c r="D1543" s="5" t="s">
        <v>46</v>
      </c>
      <c r="E1543" s="5" t="str">
        <f>"张思佳"</f>
        <v>张思佳</v>
      </c>
      <c r="F1543" s="5" t="str">
        <f t="shared" si="453"/>
        <v>女</v>
      </c>
      <c r="G1543" s="5" t="str">
        <f>"1996-03-04"</f>
        <v>1996-03-04</v>
      </c>
      <c r="H1543" s="5" t="str">
        <f>"三亚学院"</f>
        <v>三亚学院</v>
      </c>
    </row>
    <row r="1544" s="2" customFormat="1" ht="20" customHeight="1" spans="1:8">
      <c r="A1544" s="5">
        <v>1542</v>
      </c>
      <c r="B1544" s="5" t="str">
        <f>"223220191126081947212883"</f>
        <v>223220191126081947212883</v>
      </c>
      <c r="C1544" s="5" t="s">
        <v>45</v>
      </c>
      <c r="D1544" s="5" t="s">
        <v>46</v>
      </c>
      <c r="E1544" s="5" t="str">
        <f>"王梦戈"</f>
        <v>王梦戈</v>
      </c>
      <c r="F1544" s="5" t="str">
        <f t="shared" ref="F1544:F1548" si="454">"男"</f>
        <v>男</v>
      </c>
      <c r="G1544" s="5" t="str">
        <f>"1994-03-08"</f>
        <v>1994-03-08</v>
      </c>
      <c r="H1544" s="5" t="str">
        <f>"福建船政交通职业学院"</f>
        <v>福建船政交通职业学院</v>
      </c>
    </row>
    <row r="1545" s="2" customFormat="1" ht="20" customHeight="1" spans="1:8">
      <c r="A1545" s="5">
        <v>1543</v>
      </c>
      <c r="B1545" s="5" t="str">
        <f>"223220191126090004212986"</f>
        <v>223220191126090004212986</v>
      </c>
      <c r="C1545" s="5" t="s">
        <v>45</v>
      </c>
      <c r="D1545" s="5" t="s">
        <v>46</v>
      </c>
      <c r="E1545" s="5" t="str">
        <f>"吴新宇"</f>
        <v>吴新宇</v>
      </c>
      <c r="F1545" s="5" t="str">
        <f t="shared" si="454"/>
        <v>男</v>
      </c>
      <c r="G1545" s="5" t="str">
        <f>"1992-10-10"</f>
        <v>1992-10-10</v>
      </c>
      <c r="H1545" s="5" t="str">
        <f>"新余学院"</f>
        <v>新余学院</v>
      </c>
    </row>
    <row r="1546" s="2" customFormat="1" ht="20" customHeight="1" spans="1:8">
      <c r="A1546" s="5">
        <v>1544</v>
      </c>
      <c r="B1546" s="5" t="str">
        <f>"223220191126092302213085"</f>
        <v>223220191126092302213085</v>
      </c>
      <c r="C1546" s="5" t="s">
        <v>45</v>
      </c>
      <c r="D1546" s="5" t="s">
        <v>46</v>
      </c>
      <c r="E1546" s="5" t="str">
        <f>"王春彩"</f>
        <v>王春彩</v>
      </c>
      <c r="F1546" s="5" t="str">
        <f t="shared" ref="F1546:F1549" si="455">"女"</f>
        <v>女</v>
      </c>
      <c r="G1546" s="5" t="str">
        <f>"1987-11-23"</f>
        <v>1987-11-23</v>
      </c>
      <c r="H1546" s="5" t="str">
        <f>"西安电子科技大学长安学院"</f>
        <v>西安电子科技大学长安学院</v>
      </c>
    </row>
    <row r="1547" s="2" customFormat="1" ht="20" customHeight="1" spans="1:8">
      <c r="A1547" s="5">
        <v>1545</v>
      </c>
      <c r="B1547" s="5" t="str">
        <f>"223220191126100654213285"</f>
        <v>223220191126100654213285</v>
      </c>
      <c r="C1547" s="5" t="s">
        <v>45</v>
      </c>
      <c r="D1547" s="5" t="s">
        <v>46</v>
      </c>
      <c r="E1547" s="5" t="str">
        <f>"周初蕊"</f>
        <v>周初蕊</v>
      </c>
      <c r="F1547" s="5" t="str">
        <f t="shared" si="455"/>
        <v>女</v>
      </c>
      <c r="G1547" s="5" t="str">
        <f>"1995-09-24"</f>
        <v>1995-09-24</v>
      </c>
      <c r="H1547" s="5" t="str">
        <f>"晋中学院"</f>
        <v>晋中学院</v>
      </c>
    </row>
    <row r="1548" s="2" customFormat="1" ht="20" customHeight="1" spans="1:8">
      <c r="A1548" s="5">
        <v>1546</v>
      </c>
      <c r="B1548" s="5" t="str">
        <f>"223220191126104308213422"</f>
        <v>223220191126104308213422</v>
      </c>
      <c r="C1548" s="5" t="s">
        <v>45</v>
      </c>
      <c r="D1548" s="5" t="s">
        <v>46</v>
      </c>
      <c r="E1548" s="5" t="str">
        <f>"羊唐均"</f>
        <v>羊唐均</v>
      </c>
      <c r="F1548" s="5" t="str">
        <f>"男"</f>
        <v>男</v>
      </c>
      <c r="G1548" s="5" t="str">
        <f>"1994-01-02"</f>
        <v>1994-01-02</v>
      </c>
      <c r="H1548" s="5" t="str">
        <f>"湖北国土资源职业学院"</f>
        <v>湖北国土资源职业学院</v>
      </c>
    </row>
    <row r="1549" s="2" customFormat="1" ht="20" customHeight="1" spans="1:8">
      <c r="A1549" s="5">
        <v>1547</v>
      </c>
      <c r="B1549" s="5" t="str">
        <f>"223220191126104735213436"</f>
        <v>223220191126104735213436</v>
      </c>
      <c r="C1549" s="5" t="s">
        <v>45</v>
      </c>
      <c r="D1549" s="5" t="s">
        <v>46</v>
      </c>
      <c r="E1549" s="5" t="str">
        <f>"王初乾"</f>
        <v>王初乾</v>
      </c>
      <c r="F1549" s="5" t="str">
        <f>"女"</f>
        <v>女</v>
      </c>
      <c r="G1549" s="5" t="str">
        <f>"1995-08-21"</f>
        <v>1995-08-21</v>
      </c>
      <c r="H1549" s="5" t="str">
        <f>"内蒙古师范大学"</f>
        <v>内蒙古师范大学</v>
      </c>
    </row>
    <row r="1550" s="2" customFormat="1" ht="20" customHeight="1" spans="1:8">
      <c r="A1550" s="5">
        <v>1548</v>
      </c>
      <c r="B1550" s="5" t="str">
        <f>"223220191126110346213484"</f>
        <v>223220191126110346213484</v>
      </c>
      <c r="C1550" s="5" t="s">
        <v>45</v>
      </c>
      <c r="D1550" s="5" t="s">
        <v>46</v>
      </c>
      <c r="E1550" s="5" t="str">
        <f>"张登佳"</f>
        <v>张登佳</v>
      </c>
      <c r="F1550" s="5" t="str">
        <f t="shared" ref="F1550:F1557" si="456">"男"</f>
        <v>男</v>
      </c>
      <c r="G1550" s="5" t="str">
        <f>"1993-11-03"</f>
        <v>1993-11-03</v>
      </c>
      <c r="H1550" s="5" t="str">
        <f>"江西科技学院"</f>
        <v>江西科技学院</v>
      </c>
    </row>
    <row r="1551" s="2" customFormat="1" ht="20" customHeight="1" spans="1:8">
      <c r="A1551" s="5">
        <v>1549</v>
      </c>
      <c r="B1551" s="5" t="str">
        <f>"223220191126111955213538"</f>
        <v>223220191126111955213538</v>
      </c>
      <c r="C1551" s="5" t="s">
        <v>45</v>
      </c>
      <c r="D1551" s="5" t="s">
        <v>46</v>
      </c>
      <c r="E1551" s="5" t="str">
        <f>"何带金"</f>
        <v>何带金</v>
      </c>
      <c r="F1551" s="5" t="str">
        <f t="shared" ref="F1551:F1553" si="457">"女"</f>
        <v>女</v>
      </c>
      <c r="G1551" s="5" t="str">
        <f>"1991-06-11"</f>
        <v>1991-06-11</v>
      </c>
      <c r="H1551" s="5" t="str">
        <f>"辽宁财贸学院"</f>
        <v>辽宁财贸学院</v>
      </c>
    </row>
    <row r="1552" s="2" customFormat="1" ht="20" customHeight="1" spans="1:8">
      <c r="A1552" s="5">
        <v>1550</v>
      </c>
      <c r="B1552" s="5" t="str">
        <f>"223220191126123714213732"</f>
        <v>223220191126123714213732</v>
      </c>
      <c r="C1552" s="5" t="s">
        <v>45</v>
      </c>
      <c r="D1552" s="5" t="s">
        <v>46</v>
      </c>
      <c r="E1552" s="5" t="str">
        <f>"钟斯琦"</f>
        <v>钟斯琦</v>
      </c>
      <c r="F1552" s="5" t="str">
        <f t="shared" si="457"/>
        <v>女</v>
      </c>
      <c r="G1552" s="5" t="str">
        <f>"1995-08-30"</f>
        <v>1995-08-30</v>
      </c>
      <c r="H1552" s="5" t="str">
        <f>"海南医学院"</f>
        <v>海南医学院</v>
      </c>
    </row>
    <row r="1553" s="2" customFormat="1" ht="20" customHeight="1" spans="1:8">
      <c r="A1553" s="5">
        <v>1551</v>
      </c>
      <c r="B1553" s="5" t="str">
        <f>"223220191126135552213878"</f>
        <v>223220191126135552213878</v>
      </c>
      <c r="C1553" s="5" t="s">
        <v>45</v>
      </c>
      <c r="D1553" s="5" t="s">
        <v>46</v>
      </c>
      <c r="E1553" s="5" t="str">
        <f>"许华秋"</f>
        <v>许华秋</v>
      </c>
      <c r="F1553" s="5" t="str">
        <f t="shared" si="457"/>
        <v>女</v>
      </c>
      <c r="G1553" s="5" t="str">
        <f>"1993-04-14"</f>
        <v>1993-04-14</v>
      </c>
      <c r="H1553" s="5" t="str">
        <f>"山东财经大学"</f>
        <v>山东财经大学</v>
      </c>
    </row>
    <row r="1554" s="2" customFormat="1" ht="20" customHeight="1" spans="1:8">
      <c r="A1554" s="5">
        <v>1552</v>
      </c>
      <c r="B1554" s="5" t="str">
        <f>"223220191126151201214032"</f>
        <v>223220191126151201214032</v>
      </c>
      <c r="C1554" s="5" t="s">
        <v>45</v>
      </c>
      <c r="D1554" s="5" t="s">
        <v>46</v>
      </c>
      <c r="E1554" s="5" t="str">
        <f>"陈生武"</f>
        <v>陈生武</v>
      </c>
      <c r="F1554" s="5" t="str">
        <f t="shared" ref="F1554:F1557" si="458">"男"</f>
        <v>男</v>
      </c>
      <c r="G1554" s="5" t="str">
        <f>"1992-08-09"</f>
        <v>1992-08-09</v>
      </c>
      <c r="H1554" s="5" t="str">
        <f>"海南政法职业学院"</f>
        <v>海南政法职业学院</v>
      </c>
    </row>
    <row r="1555" s="2" customFormat="1" ht="20" customHeight="1" spans="1:8">
      <c r="A1555" s="5">
        <v>1553</v>
      </c>
      <c r="B1555" s="5" t="str">
        <f>"223220191126152118214058"</f>
        <v>223220191126152118214058</v>
      </c>
      <c r="C1555" s="5" t="s">
        <v>45</v>
      </c>
      <c r="D1555" s="5" t="s">
        <v>46</v>
      </c>
      <c r="E1555" s="5" t="str">
        <f>"苏义超"</f>
        <v>苏义超</v>
      </c>
      <c r="F1555" s="5" t="str">
        <f t="shared" si="458"/>
        <v>男</v>
      </c>
      <c r="G1555" s="5" t="str">
        <f>"1990-08-11"</f>
        <v>1990-08-11</v>
      </c>
      <c r="H1555" s="5" t="str">
        <f>"电子科技大学中山学院"</f>
        <v>电子科技大学中山学院</v>
      </c>
    </row>
    <row r="1556" s="2" customFormat="1" ht="20" customHeight="1" spans="1:8">
      <c r="A1556" s="5">
        <v>1554</v>
      </c>
      <c r="B1556" s="5" t="str">
        <f>"223220191126163938214243"</f>
        <v>223220191126163938214243</v>
      </c>
      <c r="C1556" s="5" t="s">
        <v>45</v>
      </c>
      <c r="D1556" s="5" t="s">
        <v>46</v>
      </c>
      <c r="E1556" s="5" t="str">
        <f>"吴本科"</f>
        <v>吴本科</v>
      </c>
      <c r="F1556" s="5" t="str">
        <f t="shared" si="458"/>
        <v>男</v>
      </c>
      <c r="G1556" s="5" t="str">
        <f>"1995-01-22"</f>
        <v>1995-01-22</v>
      </c>
      <c r="H1556" s="5" t="str">
        <f>"江苏师范大学"</f>
        <v>江苏师范大学</v>
      </c>
    </row>
    <row r="1557" s="2" customFormat="1" ht="20" customHeight="1" spans="1:8">
      <c r="A1557" s="5">
        <v>1555</v>
      </c>
      <c r="B1557" s="5" t="str">
        <f>"223220191126170655214317"</f>
        <v>223220191126170655214317</v>
      </c>
      <c r="C1557" s="5" t="s">
        <v>45</v>
      </c>
      <c r="D1557" s="5" t="s">
        <v>46</v>
      </c>
      <c r="E1557" s="5" t="str">
        <f>"邓秀君"</f>
        <v>邓秀君</v>
      </c>
      <c r="F1557" s="5" t="str">
        <f t="shared" si="458"/>
        <v>男</v>
      </c>
      <c r="G1557" s="5" t="str">
        <f>"1995-08-10"</f>
        <v>1995-08-10</v>
      </c>
      <c r="H1557" s="5" t="str">
        <f>"广州航海学院"</f>
        <v>广州航海学院</v>
      </c>
    </row>
    <row r="1558" s="2" customFormat="1" ht="20" customHeight="1" spans="1:8">
      <c r="A1558" s="5">
        <v>1556</v>
      </c>
      <c r="B1558" s="5" t="str">
        <f>"223220191126172142214338"</f>
        <v>223220191126172142214338</v>
      </c>
      <c r="C1558" s="5" t="s">
        <v>45</v>
      </c>
      <c r="D1558" s="5" t="s">
        <v>46</v>
      </c>
      <c r="E1558" s="5" t="str">
        <f>"何丽花"</f>
        <v>何丽花</v>
      </c>
      <c r="F1558" s="5" t="str">
        <f>"女"</f>
        <v>女</v>
      </c>
      <c r="G1558" s="5" t="str">
        <f>"1997-10-03"</f>
        <v>1997-10-03</v>
      </c>
      <c r="H1558" s="5" t="str">
        <f>"三亚学院"</f>
        <v>三亚学院</v>
      </c>
    </row>
    <row r="1559" s="2" customFormat="1" ht="20" customHeight="1" spans="1:8">
      <c r="A1559" s="5">
        <v>1557</v>
      </c>
      <c r="B1559" s="5" t="str">
        <f>"223220191126193323214560"</f>
        <v>223220191126193323214560</v>
      </c>
      <c r="C1559" s="5" t="s">
        <v>45</v>
      </c>
      <c r="D1559" s="5" t="s">
        <v>46</v>
      </c>
      <c r="E1559" s="5" t="str">
        <f>"李巨军"</f>
        <v>李巨军</v>
      </c>
      <c r="F1559" s="5" t="str">
        <f t="shared" ref="F1559:F1564" si="459">"男"</f>
        <v>男</v>
      </c>
      <c r="G1559" s="5" t="str">
        <f>"1987-06-07"</f>
        <v>1987-06-07</v>
      </c>
      <c r="H1559" s="5" t="str">
        <f>"琼州学院"</f>
        <v>琼州学院</v>
      </c>
    </row>
    <row r="1560" s="2" customFormat="1" ht="20" customHeight="1" spans="1:8">
      <c r="A1560" s="5">
        <v>1558</v>
      </c>
      <c r="B1560" s="5" t="str">
        <f>"223220191126194857214588"</f>
        <v>223220191126194857214588</v>
      </c>
      <c r="C1560" s="5" t="s">
        <v>45</v>
      </c>
      <c r="D1560" s="5" t="s">
        <v>46</v>
      </c>
      <c r="E1560" s="5" t="str">
        <f>"曾文波"</f>
        <v>曾文波</v>
      </c>
      <c r="F1560" s="5" t="str">
        <f t="shared" si="459"/>
        <v>男</v>
      </c>
      <c r="G1560" s="5" t="str">
        <f>"1995-02-16"</f>
        <v>1995-02-16</v>
      </c>
      <c r="H1560" s="5" t="str">
        <f>"安阳工学院"</f>
        <v>安阳工学院</v>
      </c>
    </row>
    <row r="1561" s="2" customFormat="1" ht="20" customHeight="1" spans="1:8">
      <c r="A1561" s="5">
        <v>1559</v>
      </c>
      <c r="B1561" s="5" t="str">
        <f>"223220191126201342214634"</f>
        <v>223220191126201342214634</v>
      </c>
      <c r="C1561" s="5" t="s">
        <v>45</v>
      </c>
      <c r="D1561" s="5" t="s">
        <v>46</v>
      </c>
      <c r="E1561" s="5" t="str">
        <f>"陈龙"</f>
        <v>陈龙</v>
      </c>
      <c r="F1561" s="5" t="str">
        <f t="shared" si="459"/>
        <v>男</v>
      </c>
      <c r="G1561" s="5" t="str">
        <f>"1991-08-12"</f>
        <v>1991-08-12</v>
      </c>
      <c r="H1561" s="5" t="str">
        <f>"兰州城市学院"</f>
        <v>兰州城市学院</v>
      </c>
    </row>
    <row r="1562" s="2" customFormat="1" ht="20" customHeight="1" spans="1:8">
      <c r="A1562" s="5">
        <v>1560</v>
      </c>
      <c r="B1562" s="5" t="str">
        <f>"223220191126204437214686"</f>
        <v>223220191126204437214686</v>
      </c>
      <c r="C1562" s="5" t="s">
        <v>45</v>
      </c>
      <c r="D1562" s="5" t="s">
        <v>46</v>
      </c>
      <c r="E1562" s="5" t="str">
        <f>"曾子恒"</f>
        <v>曾子恒</v>
      </c>
      <c r="F1562" s="5" t="str">
        <f t="shared" si="459"/>
        <v>男</v>
      </c>
      <c r="G1562" s="5" t="str">
        <f>"1998-01-31"</f>
        <v>1998-01-31</v>
      </c>
      <c r="H1562" s="5" t="str">
        <f>"海口经济学院"</f>
        <v>海口经济学院</v>
      </c>
    </row>
    <row r="1563" s="2" customFormat="1" ht="20" customHeight="1" spans="1:8">
      <c r="A1563" s="5">
        <v>1561</v>
      </c>
      <c r="B1563" s="5" t="str">
        <f>"223220191126215130214819"</f>
        <v>223220191126215130214819</v>
      </c>
      <c r="C1563" s="5" t="s">
        <v>45</v>
      </c>
      <c r="D1563" s="5" t="s">
        <v>46</v>
      </c>
      <c r="E1563" s="5" t="str">
        <f>"薛本蕃"</f>
        <v>薛本蕃</v>
      </c>
      <c r="F1563" s="5" t="str">
        <f t="shared" si="459"/>
        <v>男</v>
      </c>
      <c r="G1563" s="5" t="str">
        <f>"1989-10-19"</f>
        <v>1989-10-19</v>
      </c>
      <c r="H1563" s="5" t="str">
        <f>"黑龙江生物科技职业学院"</f>
        <v>黑龙江生物科技职业学院</v>
      </c>
    </row>
    <row r="1564" s="2" customFormat="1" ht="20" customHeight="1" spans="1:8">
      <c r="A1564" s="5">
        <v>1562</v>
      </c>
      <c r="B1564" s="5" t="str">
        <f>"223220191126221610214855"</f>
        <v>223220191126221610214855</v>
      </c>
      <c r="C1564" s="5" t="s">
        <v>45</v>
      </c>
      <c r="D1564" s="5" t="s">
        <v>46</v>
      </c>
      <c r="E1564" s="5" t="str">
        <f>"梁万鹏"</f>
        <v>梁万鹏</v>
      </c>
      <c r="F1564" s="5" t="str">
        <f t="shared" si="459"/>
        <v>男</v>
      </c>
      <c r="G1564" s="5" t="str">
        <f>"1999-09-12"</f>
        <v>1999-09-12</v>
      </c>
      <c r="H1564" s="5" t="str">
        <f>"广东文理职业学院"</f>
        <v>广东文理职业学院</v>
      </c>
    </row>
    <row r="1565" s="2" customFormat="1" ht="20" customHeight="1" spans="1:8">
      <c r="A1565" s="5">
        <v>1563</v>
      </c>
      <c r="B1565" s="5" t="str">
        <f>"223220191126224510214903"</f>
        <v>223220191126224510214903</v>
      </c>
      <c r="C1565" s="5" t="s">
        <v>45</v>
      </c>
      <c r="D1565" s="5" t="s">
        <v>46</v>
      </c>
      <c r="E1565" s="5" t="str">
        <f>"陈秀珍"</f>
        <v>陈秀珍</v>
      </c>
      <c r="F1565" s="5" t="str">
        <f t="shared" ref="F1565:F1570" si="460">"女"</f>
        <v>女</v>
      </c>
      <c r="G1565" s="5" t="str">
        <f>"1990-07-04"</f>
        <v>1990-07-04</v>
      </c>
      <c r="H1565" s="5" t="str">
        <f>"海南科技职业学院"</f>
        <v>海南科技职业学院</v>
      </c>
    </row>
    <row r="1566" s="2" customFormat="1" ht="20" customHeight="1" spans="1:8">
      <c r="A1566" s="5">
        <v>1564</v>
      </c>
      <c r="B1566" s="5" t="str">
        <f>"223220191127004403214960"</f>
        <v>223220191127004403214960</v>
      </c>
      <c r="C1566" s="5" t="s">
        <v>45</v>
      </c>
      <c r="D1566" s="5" t="s">
        <v>46</v>
      </c>
      <c r="E1566" s="5" t="str">
        <f>"林有祥"</f>
        <v>林有祥</v>
      </c>
      <c r="F1566" s="5" t="str">
        <f t="shared" ref="F1566:F1569" si="461">"男"</f>
        <v>男</v>
      </c>
      <c r="G1566" s="5" t="str">
        <f>"1995-01-25"</f>
        <v>1995-01-25</v>
      </c>
      <c r="H1566" s="5" t="str">
        <f>"江苏师范大学"</f>
        <v>江苏师范大学</v>
      </c>
    </row>
    <row r="1567" s="2" customFormat="1" ht="20" customHeight="1" spans="1:8">
      <c r="A1567" s="5">
        <v>1565</v>
      </c>
      <c r="B1567" s="5" t="str">
        <f>"223220191127084152215021"</f>
        <v>223220191127084152215021</v>
      </c>
      <c r="C1567" s="5" t="s">
        <v>45</v>
      </c>
      <c r="D1567" s="5" t="s">
        <v>46</v>
      </c>
      <c r="E1567" s="5" t="str">
        <f>"黎冠良"</f>
        <v>黎冠良</v>
      </c>
      <c r="F1567" s="5" t="str">
        <f t="shared" si="461"/>
        <v>男</v>
      </c>
      <c r="G1567" s="5" t="str">
        <f>"1995-05-25"</f>
        <v>1995-05-25</v>
      </c>
      <c r="H1567" s="5" t="str">
        <f>"中南民族大学"</f>
        <v>中南民族大学</v>
      </c>
    </row>
    <row r="1568" s="2" customFormat="1" ht="20" customHeight="1" spans="1:8">
      <c r="A1568" s="5">
        <v>1566</v>
      </c>
      <c r="B1568" s="5" t="str">
        <f>"223220191127111348215285"</f>
        <v>223220191127111348215285</v>
      </c>
      <c r="C1568" s="5" t="s">
        <v>45</v>
      </c>
      <c r="D1568" s="5" t="s">
        <v>46</v>
      </c>
      <c r="E1568" s="5" t="str">
        <f>"王爱梅"</f>
        <v>王爱梅</v>
      </c>
      <c r="F1568" s="5" t="str">
        <f t="shared" ref="F1568:F1572" si="462">"女"</f>
        <v>女</v>
      </c>
      <c r="G1568" s="5" t="str">
        <f>"1986-09-12"</f>
        <v>1986-09-12</v>
      </c>
      <c r="H1568" s="5" t="str">
        <f>"海南省琼台师范学院"</f>
        <v>海南省琼台师范学院</v>
      </c>
    </row>
    <row r="1569" s="2" customFormat="1" ht="20" customHeight="1" spans="1:8">
      <c r="A1569" s="5">
        <v>1567</v>
      </c>
      <c r="B1569" s="5" t="str">
        <f>"223220191127112650215310"</f>
        <v>223220191127112650215310</v>
      </c>
      <c r="C1569" s="5" t="s">
        <v>45</v>
      </c>
      <c r="D1569" s="5" t="s">
        <v>46</v>
      </c>
      <c r="E1569" s="5" t="str">
        <f>"陈彪"</f>
        <v>陈彪</v>
      </c>
      <c r="F1569" s="5" t="str">
        <f t="shared" ref="F1569:F1576" si="463">"男"</f>
        <v>男</v>
      </c>
      <c r="G1569" s="5" t="str">
        <f>"1995-10-10"</f>
        <v>1995-10-10</v>
      </c>
      <c r="H1569" s="5" t="str">
        <f>"海口经济学院"</f>
        <v>海口经济学院</v>
      </c>
    </row>
    <row r="1570" s="2" customFormat="1" ht="20" customHeight="1" spans="1:8">
      <c r="A1570" s="5">
        <v>1568</v>
      </c>
      <c r="B1570" s="5" t="str">
        <f>"223220191127113805215328"</f>
        <v>223220191127113805215328</v>
      </c>
      <c r="C1570" s="5" t="s">
        <v>45</v>
      </c>
      <c r="D1570" s="5" t="s">
        <v>46</v>
      </c>
      <c r="E1570" s="5" t="str">
        <f>"吴健娜"</f>
        <v>吴健娜</v>
      </c>
      <c r="F1570" s="5" t="str">
        <f>"女"</f>
        <v>女</v>
      </c>
      <c r="G1570" s="5" t="str">
        <f>"1997-03-02"</f>
        <v>1997-03-02</v>
      </c>
      <c r="H1570" s="5" t="str">
        <f>"新乡学院"</f>
        <v>新乡学院</v>
      </c>
    </row>
    <row r="1571" s="2" customFormat="1" ht="20" customHeight="1" spans="1:8">
      <c r="A1571" s="5">
        <v>1569</v>
      </c>
      <c r="B1571" s="5" t="str">
        <f>"223220191127114651215347"</f>
        <v>223220191127114651215347</v>
      </c>
      <c r="C1571" s="5" t="s">
        <v>45</v>
      </c>
      <c r="D1571" s="5" t="s">
        <v>46</v>
      </c>
      <c r="E1571" s="5" t="str">
        <f>"周卓聪"</f>
        <v>周卓聪</v>
      </c>
      <c r="F1571" s="5" t="str">
        <f t="shared" ref="F1571:F1576" si="464">"男"</f>
        <v>男</v>
      </c>
      <c r="G1571" s="5" t="str">
        <f>"1991-08-18"</f>
        <v>1991-08-18</v>
      </c>
      <c r="H1571" s="5" t="str">
        <f>"商丘师范学院"</f>
        <v>商丘师范学院</v>
      </c>
    </row>
    <row r="1572" s="2" customFormat="1" ht="20" customHeight="1" spans="1:8">
      <c r="A1572" s="5">
        <v>1570</v>
      </c>
      <c r="B1572" s="5" t="str">
        <f>"223220191127115123215356"</f>
        <v>223220191127115123215356</v>
      </c>
      <c r="C1572" s="5" t="s">
        <v>45</v>
      </c>
      <c r="D1572" s="5" t="s">
        <v>46</v>
      </c>
      <c r="E1572" s="5" t="str">
        <f>"李玉乾"</f>
        <v>李玉乾</v>
      </c>
      <c r="F1572" s="5" t="str">
        <f>"女"</f>
        <v>女</v>
      </c>
      <c r="G1572" s="5" t="str">
        <f>"1993-06-16"</f>
        <v>1993-06-16</v>
      </c>
      <c r="H1572" s="5" t="str">
        <f>"黄河科技学院"</f>
        <v>黄河科技学院</v>
      </c>
    </row>
    <row r="1573" s="2" customFormat="1" ht="20" customHeight="1" spans="1:8">
      <c r="A1573" s="5">
        <v>1571</v>
      </c>
      <c r="B1573" s="5" t="str">
        <f>"223220191127125440215438"</f>
        <v>223220191127125440215438</v>
      </c>
      <c r="C1573" s="5" t="s">
        <v>45</v>
      </c>
      <c r="D1573" s="5" t="s">
        <v>46</v>
      </c>
      <c r="E1573" s="5" t="str">
        <f>"李启干"</f>
        <v>李启干</v>
      </c>
      <c r="F1573" s="5" t="str">
        <f>"男"</f>
        <v>男</v>
      </c>
      <c r="G1573" s="5" t="str">
        <f>"1991-03-06"</f>
        <v>1991-03-06</v>
      </c>
      <c r="H1573" s="5" t="str">
        <f>"西安航空学院"</f>
        <v>西安航空学院</v>
      </c>
    </row>
    <row r="1574" s="2" customFormat="1" ht="20" customHeight="1" spans="1:8">
      <c r="A1574" s="5">
        <v>1572</v>
      </c>
      <c r="B1574" s="5" t="str">
        <f>"223220191127144311215556"</f>
        <v>223220191127144311215556</v>
      </c>
      <c r="C1574" s="5" t="s">
        <v>45</v>
      </c>
      <c r="D1574" s="5" t="s">
        <v>46</v>
      </c>
      <c r="E1574" s="5" t="str">
        <f>"李福春"</f>
        <v>李福春</v>
      </c>
      <c r="F1574" s="5" t="str">
        <f>"男"</f>
        <v>男</v>
      </c>
      <c r="G1574" s="5" t="str">
        <f>"1995-08-28"</f>
        <v>1995-08-28</v>
      </c>
      <c r="H1574" s="5" t="str">
        <f>"贺州学院"</f>
        <v>贺州学院</v>
      </c>
    </row>
    <row r="1575" s="2" customFormat="1" ht="20" customHeight="1" spans="1:8">
      <c r="A1575" s="5">
        <v>1573</v>
      </c>
      <c r="B1575" s="5" t="str">
        <f>"223220191127152329215626"</f>
        <v>223220191127152329215626</v>
      </c>
      <c r="C1575" s="5" t="s">
        <v>45</v>
      </c>
      <c r="D1575" s="5" t="s">
        <v>46</v>
      </c>
      <c r="E1575" s="5" t="str">
        <f>"王梓轩"</f>
        <v>王梓轩</v>
      </c>
      <c r="F1575" s="5" t="str">
        <f>"男"</f>
        <v>男</v>
      </c>
      <c r="G1575" s="5" t="str">
        <f>"1991-08-30"</f>
        <v>1991-08-30</v>
      </c>
      <c r="H1575" s="5" t="str">
        <f>"邵阳职业技术学院"</f>
        <v>邵阳职业技术学院</v>
      </c>
    </row>
    <row r="1576" s="2" customFormat="1" ht="20" customHeight="1" spans="1:8">
      <c r="A1576" s="5">
        <v>1574</v>
      </c>
      <c r="B1576" s="5" t="str">
        <f>"223220191127165301215782"</f>
        <v>223220191127165301215782</v>
      </c>
      <c r="C1576" s="5" t="s">
        <v>45</v>
      </c>
      <c r="D1576" s="5" t="s">
        <v>46</v>
      </c>
      <c r="E1576" s="5" t="str">
        <f>"吴益友"</f>
        <v>吴益友</v>
      </c>
      <c r="F1576" s="5" t="str">
        <f>"男"</f>
        <v>男</v>
      </c>
      <c r="G1576" s="5" t="str">
        <f>"1994-06-18"</f>
        <v>1994-06-18</v>
      </c>
      <c r="H1576" s="5" t="str">
        <f>"湖南省邵阳学院"</f>
        <v>湖南省邵阳学院</v>
      </c>
    </row>
    <row r="1577" s="2" customFormat="1" ht="20" customHeight="1" spans="1:8">
      <c r="A1577" s="5">
        <v>1575</v>
      </c>
      <c r="B1577" s="5" t="str">
        <f>"223220191127193040215961"</f>
        <v>223220191127193040215961</v>
      </c>
      <c r="C1577" s="5" t="s">
        <v>45</v>
      </c>
      <c r="D1577" s="5" t="s">
        <v>46</v>
      </c>
      <c r="E1577" s="5" t="str">
        <f>"李丽度"</f>
        <v>李丽度</v>
      </c>
      <c r="F1577" s="5" t="str">
        <f>"女"</f>
        <v>女</v>
      </c>
      <c r="G1577" s="5" t="str">
        <f>"1989-10-10"</f>
        <v>1989-10-10</v>
      </c>
      <c r="H1577" s="5" t="str">
        <f>"泉州理工职业学院"</f>
        <v>泉州理工职业学院</v>
      </c>
    </row>
    <row r="1578" s="2" customFormat="1" ht="20" customHeight="1" spans="1:8">
      <c r="A1578" s="5">
        <v>1576</v>
      </c>
      <c r="B1578" s="5" t="str">
        <f>"223220191127202052216031"</f>
        <v>223220191127202052216031</v>
      </c>
      <c r="C1578" s="5" t="s">
        <v>45</v>
      </c>
      <c r="D1578" s="5" t="s">
        <v>46</v>
      </c>
      <c r="E1578" s="5" t="str">
        <f>"羊辉金"</f>
        <v>羊辉金</v>
      </c>
      <c r="F1578" s="5" t="str">
        <f t="shared" ref="F1578:F1585" si="465">"男"</f>
        <v>男</v>
      </c>
      <c r="G1578" s="5" t="str">
        <f>"1985-08-21"</f>
        <v>1985-08-21</v>
      </c>
      <c r="H1578" s="5" t="str">
        <f>"海南政法职业学院"</f>
        <v>海南政法职业学院</v>
      </c>
    </row>
    <row r="1579" s="2" customFormat="1" ht="20" customHeight="1" spans="1:8">
      <c r="A1579" s="5">
        <v>1577</v>
      </c>
      <c r="B1579" s="5" t="str">
        <f>"223220191127203849216062"</f>
        <v>223220191127203849216062</v>
      </c>
      <c r="C1579" s="5" t="s">
        <v>45</v>
      </c>
      <c r="D1579" s="5" t="s">
        <v>46</v>
      </c>
      <c r="E1579" s="5" t="str">
        <f>"韦桂兴"</f>
        <v>韦桂兴</v>
      </c>
      <c r="F1579" s="5" t="str">
        <f t="shared" si="465"/>
        <v>男</v>
      </c>
      <c r="G1579" s="5" t="str">
        <f>"1986-02-19"</f>
        <v>1986-02-19</v>
      </c>
      <c r="H1579" s="5" t="str">
        <f>"西安政治学院"</f>
        <v>西安政治学院</v>
      </c>
    </row>
    <row r="1580" s="2" customFormat="1" ht="20" customHeight="1" spans="1:8">
      <c r="A1580" s="5">
        <v>1578</v>
      </c>
      <c r="B1580" s="5" t="str">
        <f>"223220191127211608216114"</f>
        <v>223220191127211608216114</v>
      </c>
      <c r="C1580" s="5" t="s">
        <v>45</v>
      </c>
      <c r="D1580" s="5" t="s">
        <v>46</v>
      </c>
      <c r="E1580" s="5" t="str">
        <f>"全永"</f>
        <v>全永</v>
      </c>
      <c r="F1580" s="5" t="str">
        <f t="shared" si="465"/>
        <v>男</v>
      </c>
      <c r="G1580" s="5" t="str">
        <f>"1998-02-15"</f>
        <v>1998-02-15</v>
      </c>
      <c r="H1580" s="5" t="str">
        <f>"广东文理职业学院"</f>
        <v>广东文理职业学院</v>
      </c>
    </row>
    <row r="1581" s="2" customFormat="1" ht="20" customHeight="1" spans="1:8">
      <c r="A1581" s="5">
        <v>1579</v>
      </c>
      <c r="B1581" s="5" t="str">
        <f>"223220191127224407216222"</f>
        <v>223220191127224407216222</v>
      </c>
      <c r="C1581" s="5" t="s">
        <v>45</v>
      </c>
      <c r="D1581" s="5" t="s">
        <v>46</v>
      </c>
      <c r="E1581" s="5" t="str">
        <f>"陈宜海"</f>
        <v>陈宜海</v>
      </c>
      <c r="F1581" s="5" t="str">
        <f t="shared" si="465"/>
        <v>男</v>
      </c>
      <c r="G1581" s="5" t="str">
        <f>"1989-05-05"</f>
        <v>1989-05-05</v>
      </c>
      <c r="H1581" s="5" t="str">
        <f>"琼州学院"</f>
        <v>琼州学院</v>
      </c>
    </row>
    <row r="1582" s="2" customFormat="1" ht="20" customHeight="1" spans="1:8">
      <c r="A1582" s="5">
        <v>1580</v>
      </c>
      <c r="B1582" s="5" t="str">
        <f>"223220191128081436216306"</f>
        <v>223220191128081436216306</v>
      </c>
      <c r="C1582" s="5" t="s">
        <v>45</v>
      </c>
      <c r="D1582" s="5" t="s">
        <v>46</v>
      </c>
      <c r="E1582" s="5" t="str">
        <f>"唐喜正"</f>
        <v>唐喜正</v>
      </c>
      <c r="F1582" s="5" t="str">
        <f t="shared" si="465"/>
        <v>男</v>
      </c>
      <c r="G1582" s="5" t="str">
        <f>"1991-10-14"</f>
        <v>1991-10-14</v>
      </c>
      <c r="H1582" s="5" t="str">
        <f>"吉林农业工程职业技术学院"</f>
        <v>吉林农业工程职业技术学院</v>
      </c>
    </row>
    <row r="1583" s="2" customFormat="1" ht="20" customHeight="1" spans="1:8">
      <c r="A1583" s="5">
        <v>1581</v>
      </c>
      <c r="B1583" s="5" t="str">
        <f>"223220191128090058216335"</f>
        <v>223220191128090058216335</v>
      </c>
      <c r="C1583" s="5" t="s">
        <v>45</v>
      </c>
      <c r="D1583" s="5" t="s">
        <v>46</v>
      </c>
      <c r="E1583" s="5" t="str">
        <f>"张鹏鑫"</f>
        <v>张鹏鑫</v>
      </c>
      <c r="F1583" s="5" t="str">
        <f t="shared" si="465"/>
        <v>男</v>
      </c>
      <c r="G1583" s="5" t="str">
        <f>"1992-05-09"</f>
        <v>1992-05-09</v>
      </c>
      <c r="H1583" s="5" t="str">
        <f>"安徽工商职业学院"</f>
        <v>安徽工商职业学院</v>
      </c>
    </row>
    <row r="1584" s="2" customFormat="1" ht="20" customHeight="1" spans="1:8">
      <c r="A1584" s="5">
        <v>1582</v>
      </c>
      <c r="B1584" s="5" t="str">
        <f>"223220191128105924216515"</f>
        <v>223220191128105924216515</v>
      </c>
      <c r="C1584" s="5" t="s">
        <v>45</v>
      </c>
      <c r="D1584" s="5" t="s">
        <v>46</v>
      </c>
      <c r="E1584" s="5" t="str">
        <f>"高德"</f>
        <v>高德</v>
      </c>
      <c r="F1584" s="5" t="str">
        <f t="shared" si="465"/>
        <v>男</v>
      </c>
      <c r="G1584" s="5" t="str">
        <f>"1996-06-08"</f>
        <v>1996-06-08</v>
      </c>
      <c r="H1584" s="5" t="str">
        <f>"烟台南山学院"</f>
        <v>烟台南山学院</v>
      </c>
    </row>
    <row r="1585" s="2" customFormat="1" ht="20" customHeight="1" spans="1:8">
      <c r="A1585" s="5">
        <v>1583</v>
      </c>
      <c r="B1585" s="5" t="str">
        <f>"223220191128123416216634"</f>
        <v>223220191128123416216634</v>
      </c>
      <c r="C1585" s="5" t="s">
        <v>45</v>
      </c>
      <c r="D1585" s="5" t="s">
        <v>46</v>
      </c>
      <c r="E1585" s="5" t="str">
        <f>"羊其赞"</f>
        <v>羊其赞</v>
      </c>
      <c r="F1585" s="5" t="str">
        <f t="shared" si="465"/>
        <v>男</v>
      </c>
      <c r="G1585" s="5" t="str">
        <f>"1992-08-07"</f>
        <v>1992-08-07</v>
      </c>
      <c r="H1585" s="5" t="str">
        <f>"海南大学"</f>
        <v>海南大学</v>
      </c>
    </row>
    <row r="1586" s="2" customFormat="1" ht="20" customHeight="1" spans="1:8">
      <c r="A1586" s="5">
        <v>1584</v>
      </c>
      <c r="B1586" s="5" t="str">
        <f>"223220191128143347216776"</f>
        <v>223220191128143347216776</v>
      </c>
      <c r="C1586" s="5" t="s">
        <v>45</v>
      </c>
      <c r="D1586" s="5" t="s">
        <v>46</v>
      </c>
      <c r="E1586" s="5" t="str">
        <f>"孙翠妹"</f>
        <v>孙翠妹</v>
      </c>
      <c r="F1586" s="5" t="str">
        <f t="shared" ref="F1586:F1588" si="466">"女"</f>
        <v>女</v>
      </c>
      <c r="G1586" s="5" t="str">
        <f>"1991-05-06"</f>
        <v>1991-05-06</v>
      </c>
      <c r="H1586" s="5" t="str">
        <f>"赣南师范大学"</f>
        <v>赣南师范大学</v>
      </c>
    </row>
    <row r="1587" s="2" customFormat="1" ht="20" customHeight="1" spans="1:8">
      <c r="A1587" s="5">
        <v>1585</v>
      </c>
      <c r="B1587" s="5" t="str">
        <f>"223220191128175726217049"</f>
        <v>223220191128175726217049</v>
      </c>
      <c r="C1587" s="5" t="s">
        <v>45</v>
      </c>
      <c r="D1587" s="5" t="s">
        <v>46</v>
      </c>
      <c r="E1587" s="5" t="str">
        <f>"王桂萍"</f>
        <v>王桂萍</v>
      </c>
      <c r="F1587" s="5" t="str">
        <f t="shared" si="466"/>
        <v>女</v>
      </c>
      <c r="G1587" s="5" t="str">
        <f>"1994-09-05"</f>
        <v>1994-09-05</v>
      </c>
      <c r="H1587" s="5" t="str">
        <f>"福建师范大学"</f>
        <v>福建师范大学</v>
      </c>
    </row>
    <row r="1588" s="2" customFormat="1" ht="20" customHeight="1" spans="1:8">
      <c r="A1588" s="5">
        <v>1586</v>
      </c>
      <c r="B1588" s="5" t="str">
        <f>"223220191128181815217059"</f>
        <v>223220191128181815217059</v>
      </c>
      <c r="C1588" s="5" t="s">
        <v>45</v>
      </c>
      <c r="D1588" s="5" t="s">
        <v>46</v>
      </c>
      <c r="E1588" s="5" t="str">
        <f>"何源女"</f>
        <v>何源女</v>
      </c>
      <c r="F1588" s="5" t="str">
        <f t="shared" si="466"/>
        <v>女</v>
      </c>
      <c r="G1588" s="5" t="str">
        <f>"1995-09-01"</f>
        <v>1995-09-01</v>
      </c>
      <c r="H1588" s="5" t="str">
        <f>"东北师范大学人文学院"</f>
        <v>东北师范大学人文学院</v>
      </c>
    </row>
    <row r="1589" s="2" customFormat="1" ht="20" customHeight="1" spans="1:8">
      <c r="A1589" s="5">
        <v>1587</v>
      </c>
      <c r="B1589" s="5" t="str">
        <f>"223220191128190740217079"</f>
        <v>223220191128190740217079</v>
      </c>
      <c r="C1589" s="5" t="s">
        <v>45</v>
      </c>
      <c r="D1589" s="5" t="s">
        <v>46</v>
      </c>
      <c r="E1589" s="5" t="str">
        <f>"潘显仁"</f>
        <v>潘显仁</v>
      </c>
      <c r="F1589" s="5" t="str">
        <f t="shared" ref="F1589:F1595" si="467">"男"</f>
        <v>男</v>
      </c>
      <c r="G1589" s="5" t="str">
        <f>"1996-12-16"</f>
        <v>1996-12-16</v>
      </c>
      <c r="H1589" s="5" t="str">
        <f>"广东农工商职业技术学院"</f>
        <v>广东农工商职业技术学院</v>
      </c>
    </row>
    <row r="1590" s="2" customFormat="1" ht="20" customHeight="1" spans="1:8">
      <c r="A1590" s="5">
        <v>1588</v>
      </c>
      <c r="B1590" s="5" t="str">
        <f>"223220191128193310217103"</f>
        <v>223220191128193310217103</v>
      </c>
      <c r="C1590" s="5" t="s">
        <v>45</v>
      </c>
      <c r="D1590" s="5" t="s">
        <v>46</v>
      </c>
      <c r="E1590" s="5" t="str">
        <f>"薛丹香"</f>
        <v>薛丹香</v>
      </c>
      <c r="F1590" s="5" t="str">
        <f t="shared" ref="F1590:F1593" si="468">"女"</f>
        <v>女</v>
      </c>
      <c r="G1590" s="5" t="str">
        <f>"1990-08-24"</f>
        <v>1990-08-24</v>
      </c>
      <c r="H1590" s="5" t="str">
        <f>"荆楚理工学院"</f>
        <v>荆楚理工学院</v>
      </c>
    </row>
    <row r="1591" s="2" customFormat="1" ht="20" customHeight="1" spans="1:8">
      <c r="A1591" s="5">
        <v>1589</v>
      </c>
      <c r="B1591" s="5" t="str">
        <f>"223220191128212842217197"</f>
        <v>223220191128212842217197</v>
      </c>
      <c r="C1591" s="5" t="s">
        <v>45</v>
      </c>
      <c r="D1591" s="5" t="s">
        <v>46</v>
      </c>
      <c r="E1591" s="5" t="str">
        <f>"吴梅霜"</f>
        <v>吴梅霜</v>
      </c>
      <c r="F1591" s="5" t="str">
        <f t="shared" si="468"/>
        <v>女</v>
      </c>
      <c r="G1591" s="5" t="str">
        <f>"1993-04-10"</f>
        <v>1993-04-10</v>
      </c>
      <c r="H1591" s="5" t="str">
        <f>"海南琼台师范高等专科学校"</f>
        <v>海南琼台师范高等专科学校</v>
      </c>
    </row>
    <row r="1592" s="2" customFormat="1" ht="20" customHeight="1" spans="1:8">
      <c r="A1592" s="5">
        <v>1590</v>
      </c>
      <c r="B1592" s="5" t="str">
        <f>"223220191128225839217259"</f>
        <v>223220191128225839217259</v>
      </c>
      <c r="C1592" s="5" t="s">
        <v>45</v>
      </c>
      <c r="D1592" s="5" t="s">
        <v>46</v>
      </c>
      <c r="E1592" s="5" t="str">
        <f>"刘子振"</f>
        <v>刘子振</v>
      </c>
      <c r="F1592" s="5" t="str">
        <f t="shared" ref="F1592:F1595" si="469">"男"</f>
        <v>男</v>
      </c>
      <c r="G1592" s="5" t="str">
        <f>"1986-08-09"</f>
        <v>1986-08-09</v>
      </c>
      <c r="H1592" s="5" t="str">
        <f>"广东纺织职业技术学院"</f>
        <v>广东纺织职业技术学院</v>
      </c>
    </row>
    <row r="1593" s="2" customFormat="1" ht="20" customHeight="1" spans="1:8">
      <c r="A1593" s="5">
        <v>1591</v>
      </c>
      <c r="B1593" s="5" t="str">
        <f>"223220191128225911217261"</f>
        <v>223220191128225911217261</v>
      </c>
      <c r="C1593" s="5" t="s">
        <v>45</v>
      </c>
      <c r="D1593" s="5" t="s">
        <v>46</v>
      </c>
      <c r="E1593" s="5" t="str">
        <f>"许永花"</f>
        <v>许永花</v>
      </c>
      <c r="F1593" s="5" t="str">
        <f>"女"</f>
        <v>女</v>
      </c>
      <c r="G1593" s="5" t="str">
        <f>"1993-03-05"</f>
        <v>1993-03-05</v>
      </c>
      <c r="H1593" s="5" t="str">
        <f>"江西科技学院"</f>
        <v>江西科技学院</v>
      </c>
    </row>
    <row r="1594" s="2" customFormat="1" ht="20" customHeight="1" spans="1:8">
      <c r="A1594" s="5">
        <v>1592</v>
      </c>
      <c r="B1594" s="5" t="str">
        <f>"223220191129095624217383"</f>
        <v>223220191129095624217383</v>
      </c>
      <c r="C1594" s="5" t="s">
        <v>45</v>
      </c>
      <c r="D1594" s="5" t="s">
        <v>46</v>
      </c>
      <c r="E1594" s="5" t="str">
        <f>"李诗杰"</f>
        <v>李诗杰</v>
      </c>
      <c r="F1594" s="5" t="str">
        <f>"男"</f>
        <v>男</v>
      </c>
      <c r="G1594" s="5" t="str">
        <f>"1987-10-10"</f>
        <v>1987-10-10</v>
      </c>
      <c r="H1594" s="5" t="str">
        <f>"贵阳学院"</f>
        <v>贵阳学院</v>
      </c>
    </row>
    <row r="1595" s="2" customFormat="1" ht="20" customHeight="1" spans="1:8">
      <c r="A1595" s="5">
        <v>1593</v>
      </c>
      <c r="B1595" s="5" t="str">
        <f>"223220191129104202217422"</f>
        <v>223220191129104202217422</v>
      </c>
      <c r="C1595" s="5" t="s">
        <v>45</v>
      </c>
      <c r="D1595" s="5" t="s">
        <v>46</v>
      </c>
      <c r="E1595" s="5" t="str">
        <f>"李灏"</f>
        <v>李灏</v>
      </c>
      <c r="F1595" s="5" t="str">
        <f>"男"</f>
        <v>男</v>
      </c>
      <c r="G1595" s="5" t="str">
        <f>"1990-04-18"</f>
        <v>1990-04-18</v>
      </c>
      <c r="H1595" s="5" t="str">
        <f>"邕江大学"</f>
        <v>邕江大学</v>
      </c>
    </row>
    <row r="1596" s="2" customFormat="1" ht="20" customHeight="1" spans="1:8">
      <c r="A1596" s="5">
        <v>1594</v>
      </c>
      <c r="B1596" s="5" t="str">
        <f>"223220191129111031217444"</f>
        <v>223220191129111031217444</v>
      </c>
      <c r="C1596" s="5" t="s">
        <v>45</v>
      </c>
      <c r="D1596" s="5" t="s">
        <v>46</v>
      </c>
      <c r="E1596" s="5" t="str">
        <f>"张玉柳"</f>
        <v>张玉柳</v>
      </c>
      <c r="F1596" s="5" t="str">
        <f t="shared" ref="F1596:F1598" si="470">"女"</f>
        <v>女</v>
      </c>
      <c r="G1596" s="5" t="str">
        <f>"1993-09-22"</f>
        <v>1993-09-22</v>
      </c>
      <c r="H1596" s="5" t="str">
        <f>"琼台师范高等专科学校"</f>
        <v>琼台师范高等专科学校</v>
      </c>
    </row>
    <row r="1597" s="2" customFormat="1" ht="20" customHeight="1" spans="1:8">
      <c r="A1597" s="5">
        <v>1595</v>
      </c>
      <c r="B1597" s="5" t="str">
        <f>"223220191129125423217517"</f>
        <v>223220191129125423217517</v>
      </c>
      <c r="C1597" s="5" t="s">
        <v>45</v>
      </c>
      <c r="D1597" s="5" t="s">
        <v>46</v>
      </c>
      <c r="E1597" s="5" t="str">
        <f>"陈长花"</f>
        <v>陈长花</v>
      </c>
      <c r="F1597" s="5" t="str">
        <f t="shared" si="470"/>
        <v>女</v>
      </c>
      <c r="G1597" s="5" t="str">
        <f>"1990-10-10"</f>
        <v>1990-10-10</v>
      </c>
      <c r="H1597" s="5" t="str">
        <f>"黔东南民族职业技术学院"</f>
        <v>黔东南民族职业技术学院</v>
      </c>
    </row>
    <row r="1598" s="2" customFormat="1" ht="20" customHeight="1" spans="1:8">
      <c r="A1598" s="5">
        <v>1596</v>
      </c>
      <c r="B1598" s="5" t="str">
        <f>"223220191129131926217531"</f>
        <v>223220191129131926217531</v>
      </c>
      <c r="C1598" s="5" t="s">
        <v>45</v>
      </c>
      <c r="D1598" s="5" t="s">
        <v>46</v>
      </c>
      <c r="E1598" s="5" t="str">
        <f>"钟庆兰"</f>
        <v>钟庆兰</v>
      </c>
      <c r="F1598" s="5" t="str">
        <f t="shared" si="470"/>
        <v>女</v>
      </c>
      <c r="G1598" s="5" t="str">
        <f>"1987-08-01"</f>
        <v>1987-08-01</v>
      </c>
      <c r="H1598" s="5" t="str">
        <f>"琼台师范高等专科学校"</f>
        <v>琼台师范高等专科学校</v>
      </c>
    </row>
    <row r="1599" s="2" customFormat="1" ht="20" customHeight="1" spans="1:8">
      <c r="A1599" s="5">
        <v>1597</v>
      </c>
      <c r="B1599" s="5" t="str">
        <f>"223220191129150529217584"</f>
        <v>223220191129150529217584</v>
      </c>
      <c r="C1599" s="5" t="s">
        <v>45</v>
      </c>
      <c r="D1599" s="5" t="s">
        <v>46</v>
      </c>
      <c r="E1599" s="5" t="str">
        <f>"钟世纪"</f>
        <v>钟世纪</v>
      </c>
      <c r="F1599" s="5" t="str">
        <f t="shared" ref="F1599:F1603" si="471">"男"</f>
        <v>男</v>
      </c>
      <c r="G1599" s="5" t="str">
        <f>"1990-06-30"</f>
        <v>1990-06-30</v>
      </c>
      <c r="H1599" s="5" t="str">
        <f>"青岛理工大学"</f>
        <v>青岛理工大学</v>
      </c>
    </row>
    <row r="1600" s="2" customFormat="1" ht="20" customHeight="1" spans="1:8">
      <c r="A1600" s="5">
        <v>1598</v>
      </c>
      <c r="B1600" s="5" t="str">
        <f>"223220191129154730217620"</f>
        <v>223220191129154730217620</v>
      </c>
      <c r="C1600" s="5" t="s">
        <v>45</v>
      </c>
      <c r="D1600" s="5" t="s">
        <v>46</v>
      </c>
      <c r="E1600" s="5" t="str">
        <f>"黎祖平"</f>
        <v>黎祖平</v>
      </c>
      <c r="F1600" s="5" t="str">
        <f t="shared" si="471"/>
        <v>男</v>
      </c>
      <c r="G1600" s="5" t="str">
        <f>"1993-10-01"</f>
        <v>1993-10-01</v>
      </c>
      <c r="H1600" s="5" t="str">
        <f>"天津交通职业学院"</f>
        <v>天津交通职业学院</v>
      </c>
    </row>
    <row r="1601" s="2" customFormat="1" ht="20" customHeight="1" spans="1:8">
      <c r="A1601" s="5">
        <v>1599</v>
      </c>
      <c r="B1601" s="5" t="str">
        <f>"223220191129171909217695"</f>
        <v>223220191129171909217695</v>
      </c>
      <c r="C1601" s="5" t="s">
        <v>45</v>
      </c>
      <c r="D1601" s="5" t="s">
        <v>46</v>
      </c>
      <c r="E1601" s="5" t="str">
        <f>"唐子道"</f>
        <v>唐子道</v>
      </c>
      <c r="F1601" s="5" t="str">
        <f t="shared" si="471"/>
        <v>男</v>
      </c>
      <c r="G1601" s="5" t="str">
        <f>"1998-07-27"</f>
        <v>1998-07-27</v>
      </c>
      <c r="H1601" s="5" t="str">
        <f>"安阳工学院"</f>
        <v>安阳工学院</v>
      </c>
    </row>
    <row r="1602" s="2" customFormat="1" ht="20" customHeight="1" spans="1:8">
      <c r="A1602" s="5">
        <v>1600</v>
      </c>
      <c r="B1602" s="5" t="str">
        <f>"223220191129191812217755"</f>
        <v>223220191129191812217755</v>
      </c>
      <c r="C1602" s="5" t="s">
        <v>45</v>
      </c>
      <c r="D1602" s="5" t="s">
        <v>46</v>
      </c>
      <c r="E1602" s="5" t="str">
        <f>"羊盛旺"</f>
        <v>羊盛旺</v>
      </c>
      <c r="F1602" s="5" t="str">
        <f t="shared" si="471"/>
        <v>男</v>
      </c>
      <c r="G1602" s="5" t="str">
        <f>"1993-12-28"</f>
        <v>1993-12-28</v>
      </c>
      <c r="H1602" s="5" t="str">
        <f>"海南热带海洋学院"</f>
        <v>海南热带海洋学院</v>
      </c>
    </row>
    <row r="1603" s="2" customFormat="1" ht="20" customHeight="1" spans="1:8">
      <c r="A1603" s="5">
        <v>1601</v>
      </c>
      <c r="B1603" s="5" t="str">
        <f>"223220191129205622217808"</f>
        <v>223220191129205622217808</v>
      </c>
      <c r="C1603" s="5" t="s">
        <v>45</v>
      </c>
      <c r="D1603" s="5" t="s">
        <v>46</v>
      </c>
      <c r="E1603" s="5" t="str">
        <f>"吕富仁"</f>
        <v>吕富仁</v>
      </c>
      <c r="F1603" s="5" t="str">
        <f t="shared" si="471"/>
        <v>男</v>
      </c>
      <c r="G1603" s="5" t="str">
        <f>"1989-04-14"</f>
        <v>1989-04-14</v>
      </c>
      <c r="H1603" s="5" t="str">
        <f>"重庆航天职业技术学院"</f>
        <v>重庆航天职业技术学院</v>
      </c>
    </row>
    <row r="1604" s="2" customFormat="1" ht="20" customHeight="1" spans="1:8">
      <c r="A1604" s="5">
        <v>1602</v>
      </c>
      <c r="B1604" s="5" t="str">
        <f>"223220191129210622217814"</f>
        <v>223220191129210622217814</v>
      </c>
      <c r="C1604" s="5" t="s">
        <v>45</v>
      </c>
      <c r="D1604" s="5" t="s">
        <v>46</v>
      </c>
      <c r="E1604" s="5" t="str">
        <f>"何应蕊"</f>
        <v>何应蕊</v>
      </c>
      <c r="F1604" s="5" t="str">
        <f t="shared" ref="F1604:F1607" si="472">"女"</f>
        <v>女</v>
      </c>
      <c r="G1604" s="5" t="str">
        <f>"1996-06-18"</f>
        <v>1996-06-18</v>
      </c>
      <c r="H1604" s="5" t="str">
        <f>"浙江师范大学"</f>
        <v>浙江师范大学</v>
      </c>
    </row>
    <row r="1605" s="2" customFormat="1" ht="20" customHeight="1" spans="1:8">
      <c r="A1605" s="5">
        <v>1603</v>
      </c>
      <c r="B1605" s="5" t="str">
        <f>"223220191129211645217825"</f>
        <v>223220191129211645217825</v>
      </c>
      <c r="C1605" s="5" t="s">
        <v>45</v>
      </c>
      <c r="D1605" s="5" t="s">
        <v>46</v>
      </c>
      <c r="E1605" s="5" t="str">
        <f>"何薇薇"</f>
        <v>何薇薇</v>
      </c>
      <c r="F1605" s="5" t="str">
        <f t="shared" si="472"/>
        <v>女</v>
      </c>
      <c r="G1605" s="5" t="str">
        <f>"1992-04-10"</f>
        <v>1992-04-10</v>
      </c>
      <c r="H1605" s="5" t="str">
        <f>"中国药科大学"</f>
        <v>中国药科大学</v>
      </c>
    </row>
    <row r="1606" s="2" customFormat="1" ht="20" customHeight="1" spans="1:8">
      <c r="A1606" s="5">
        <v>1604</v>
      </c>
      <c r="B1606" s="5" t="str">
        <f>"223220191129223618217859"</f>
        <v>223220191129223618217859</v>
      </c>
      <c r="C1606" s="5" t="s">
        <v>45</v>
      </c>
      <c r="D1606" s="5" t="s">
        <v>46</v>
      </c>
      <c r="E1606" s="5" t="str">
        <f>"吴翠女"</f>
        <v>吴翠女</v>
      </c>
      <c r="F1606" s="5" t="str">
        <f t="shared" si="472"/>
        <v>女</v>
      </c>
      <c r="G1606" s="5" t="str">
        <f>"1994-05-13"</f>
        <v>1994-05-13</v>
      </c>
      <c r="H1606" s="5" t="str">
        <f>"华北理工大学"</f>
        <v>华北理工大学</v>
      </c>
    </row>
    <row r="1607" s="2" customFormat="1" ht="20" customHeight="1" spans="1:8">
      <c r="A1607" s="5">
        <v>1605</v>
      </c>
      <c r="B1607" s="5" t="str">
        <f>"223220191130102729217964"</f>
        <v>223220191130102729217964</v>
      </c>
      <c r="C1607" s="5" t="s">
        <v>45</v>
      </c>
      <c r="D1607" s="5" t="s">
        <v>46</v>
      </c>
      <c r="E1607" s="5" t="str">
        <f>"羊庆兰"</f>
        <v>羊庆兰</v>
      </c>
      <c r="F1607" s="5" t="str">
        <f t="shared" si="472"/>
        <v>女</v>
      </c>
      <c r="G1607" s="5" t="str">
        <f>"1987-11-24"</f>
        <v>1987-11-24</v>
      </c>
      <c r="H1607" s="5" t="str">
        <f>"琼州学院"</f>
        <v>琼州学院</v>
      </c>
    </row>
  </sheetData>
  <mergeCells count="1">
    <mergeCell ref="A1:H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儋州市退役军人合格人员名单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脱了皮的蛇</cp:lastModifiedBy>
  <dcterms:created xsi:type="dcterms:W3CDTF">2019-12-02T07:55:00Z</dcterms:created>
  <dcterms:modified xsi:type="dcterms:W3CDTF">2019-12-09T14:15:23Z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KSOReadingLayout">
    <vt:bool>true</vt:bool>
  </property>
</Properties>
</file>