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桂林洋合格" sheetId="1" r:id="rId1"/>
  </sheets>
  <definedNames>
    <definedName name="_xlnm._FilterDatabase" localSheetId="0" hidden="1">桂林洋合格!$A$2:$I$387</definedName>
    <definedName name="_xlnm.Print_Area" localSheetId="0">桂林洋合格!$A$1:$I$387</definedName>
  </definedNames>
  <calcPr calcId="144525"/>
</workbook>
</file>

<file path=xl/sharedStrings.xml><?xml version="1.0" encoding="utf-8"?>
<sst xmlns="http://schemas.openxmlformats.org/spreadsheetml/2006/main" count="395" uniqueCount="20">
  <si>
    <t>海口桂林洋经济开发区管理委员会2019年事业编制工作人员招聘资格初审合格人员名单</t>
  </si>
  <si>
    <t>序号</t>
  </si>
  <si>
    <t>报考号</t>
  </si>
  <si>
    <t>报考岗位</t>
  </si>
  <si>
    <t>姓名</t>
  </si>
  <si>
    <t>性别</t>
  </si>
  <si>
    <t>民族</t>
  </si>
  <si>
    <t>政治面貌</t>
  </si>
  <si>
    <t>学历</t>
  </si>
  <si>
    <t>专业</t>
  </si>
  <si>
    <t>0101_管理岗位1</t>
  </si>
  <si>
    <t>0201_管理岗位2</t>
  </si>
  <si>
    <t>0301_管理岗位3</t>
  </si>
  <si>
    <t>0302_管理岗位4</t>
  </si>
  <si>
    <t>0401_管理岗位5</t>
  </si>
  <si>
    <t>0501_管理岗位6</t>
  </si>
  <si>
    <t>0601_管理岗位7</t>
  </si>
  <si>
    <t>0701_管理岗位8</t>
  </si>
  <si>
    <t>0801_管理岗位9</t>
  </si>
  <si>
    <t>0901_管理岗位10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</si>
</sst>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387"/>
  <sheetViews>
    <sheetView tabSelected="1" topLeftCell="A366" workbookViewId="0">
      <selection activeCell="J371" sqref="J371"/>
    </sheetView>
  </sheetViews>
  <sheetFormatPr defaultColWidth="9" defaultRowHeight="13.5"/>
  <cols>
    <col min="1" max="1" width="7" style="2" customWidth="1"/>
    <col min="2" max="2" width="27.125" style="2" customWidth="1"/>
    <col min="3" max="3" width="16.5" style="2" customWidth="1"/>
    <col min="4" max="4" width="9" style="2"/>
    <col min="5" max="5" width="5.375" style="2" customWidth="1"/>
    <col min="6" max="6" width="9" style="2"/>
    <col min="7" max="7" width="13.25" style="2" customWidth="1"/>
    <col min="8" max="8" width="9" style="2"/>
    <col min="9" max="9" width="38.5" style="2" customWidth="1"/>
    <col min="10" max="16384" width="9" style="2"/>
  </cols>
  <sheetData>
    <row r="1" ht="36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20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2" customFormat="1" ht="20" customHeight="1" spans="1:9">
      <c r="A3" s="6">
        <v>1</v>
      </c>
      <c r="B3" s="6" t="str">
        <f>"220720191126092543213097"</f>
        <v>220720191126092543213097</v>
      </c>
      <c r="C3" s="6" t="s">
        <v>10</v>
      </c>
      <c r="D3" s="6" t="str">
        <f>"谢萧蔚"</f>
        <v>谢萧蔚</v>
      </c>
      <c r="E3" s="6" t="str">
        <f>"女"</f>
        <v>女</v>
      </c>
      <c r="F3" s="6" t="str">
        <f>"汉族"</f>
        <v>汉族</v>
      </c>
      <c r="G3" s="6" t="str">
        <f t="shared" ref="G3:G11" si="0">"中共党员"</f>
        <v>中共党员</v>
      </c>
      <c r="H3" s="6" t="str">
        <f t="shared" ref="H3:H12" si="1">"本科"</f>
        <v>本科</v>
      </c>
      <c r="I3" s="6" t="str">
        <f t="shared" ref="I3:I12" si="2">"汉语言文学"</f>
        <v>汉语言文学</v>
      </c>
    </row>
    <row r="4" s="2" customFormat="1" ht="20" customHeight="1" spans="1:9">
      <c r="A4" s="6">
        <v>2</v>
      </c>
      <c r="B4" s="6" t="str">
        <f>"220720191126111646213530"</f>
        <v>220720191126111646213530</v>
      </c>
      <c r="C4" s="6" t="s">
        <v>10</v>
      </c>
      <c r="D4" s="6" t="str">
        <f>"蔡燕玲"</f>
        <v>蔡燕玲</v>
      </c>
      <c r="E4" s="6" t="str">
        <f>"女"</f>
        <v>女</v>
      </c>
      <c r="F4" s="6" t="str">
        <f t="shared" ref="F4:F13" si="3">"汉族"</f>
        <v>汉族</v>
      </c>
      <c r="G4" s="6" t="str">
        <f t="shared" si="0"/>
        <v>中共党员</v>
      </c>
      <c r="H4" s="6" t="str">
        <f t="shared" si="1"/>
        <v>本科</v>
      </c>
      <c r="I4" s="6" t="str">
        <f t="shared" si="2"/>
        <v>汉语言文学</v>
      </c>
    </row>
    <row r="5" s="2" customFormat="1" ht="20" customHeight="1" spans="1:9">
      <c r="A5" s="6">
        <v>3</v>
      </c>
      <c r="B5" s="6" t="str">
        <f>"220720191126113610213594"</f>
        <v>220720191126113610213594</v>
      </c>
      <c r="C5" s="6" t="s">
        <v>10</v>
      </c>
      <c r="D5" s="6" t="str">
        <f>"曾珊珊"</f>
        <v>曾珊珊</v>
      </c>
      <c r="E5" s="6" t="str">
        <f>"女"</f>
        <v>女</v>
      </c>
      <c r="F5" s="6" t="str">
        <f t="shared" si="3"/>
        <v>汉族</v>
      </c>
      <c r="G5" s="6" t="str">
        <f t="shared" si="0"/>
        <v>中共党员</v>
      </c>
      <c r="H5" s="6" t="str">
        <f t="shared" si="1"/>
        <v>本科</v>
      </c>
      <c r="I5" s="6" t="str">
        <f t="shared" si="2"/>
        <v>汉语言文学</v>
      </c>
    </row>
    <row r="6" s="2" customFormat="1" ht="20" customHeight="1" spans="1:9">
      <c r="A6" s="6">
        <v>4</v>
      </c>
      <c r="B6" s="6" t="str">
        <f>"220720191126114051213610"</f>
        <v>220720191126114051213610</v>
      </c>
      <c r="C6" s="6" t="s">
        <v>10</v>
      </c>
      <c r="D6" s="6" t="str">
        <f>"翁晓娟"</f>
        <v>翁晓娟</v>
      </c>
      <c r="E6" s="6" t="str">
        <f>"女"</f>
        <v>女</v>
      </c>
      <c r="F6" s="6" t="str">
        <f t="shared" si="3"/>
        <v>汉族</v>
      </c>
      <c r="G6" s="6" t="str">
        <f t="shared" si="0"/>
        <v>中共党员</v>
      </c>
      <c r="H6" s="6" t="str">
        <f t="shared" si="1"/>
        <v>本科</v>
      </c>
      <c r="I6" s="6" t="str">
        <f t="shared" si="2"/>
        <v>汉语言文学</v>
      </c>
    </row>
    <row r="7" s="2" customFormat="1" ht="20" customHeight="1" spans="1:9">
      <c r="A7" s="6">
        <v>5</v>
      </c>
      <c r="B7" s="6" t="str">
        <f>"220720191126125731213782"</f>
        <v>220720191126125731213782</v>
      </c>
      <c r="C7" s="6" t="s">
        <v>10</v>
      </c>
      <c r="D7" s="6" t="str">
        <f>"迟越男"</f>
        <v>迟越男</v>
      </c>
      <c r="E7" s="6" t="str">
        <f>"女"</f>
        <v>女</v>
      </c>
      <c r="F7" s="6" t="str">
        <f t="shared" si="3"/>
        <v>汉族</v>
      </c>
      <c r="G7" s="6" t="str">
        <f t="shared" si="0"/>
        <v>中共党员</v>
      </c>
      <c r="H7" s="6" t="str">
        <f t="shared" si="1"/>
        <v>本科</v>
      </c>
      <c r="I7" s="6" t="str">
        <f t="shared" si="2"/>
        <v>汉语言文学</v>
      </c>
    </row>
    <row r="8" s="2" customFormat="1" ht="20" customHeight="1" spans="1:9">
      <c r="A8" s="6">
        <v>6</v>
      </c>
      <c r="B8" s="6" t="str">
        <f>"220720191126165144214290"</f>
        <v>220720191126165144214290</v>
      </c>
      <c r="C8" s="6" t="s">
        <v>10</v>
      </c>
      <c r="D8" s="6" t="str">
        <f>"谢永"</f>
        <v>谢永</v>
      </c>
      <c r="E8" s="6" t="str">
        <f>"男"</f>
        <v>男</v>
      </c>
      <c r="F8" s="6" t="str">
        <f t="shared" si="3"/>
        <v>汉族</v>
      </c>
      <c r="G8" s="6" t="str">
        <f t="shared" si="0"/>
        <v>中共党员</v>
      </c>
      <c r="H8" s="6" t="str">
        <f t="shared" si="1"/>
        <v>本科</v>
      </c>
      <c r="I8" s="6" t="str">
        <f t="shared" si="2"/>
        <v>汉语言文学</v>
      </c>
    </row>
    <row r="9" s="2" customFormat="1" ht="20" customHeight="1" spans="1:9">
      <c r="A9" s="6">
        <v>7</v>
      </c>
      <c r="B9" s="6" t="str">
        <f>"220720191126172219214340"</f>
        <v>220720191126172219214340</v>
      </c>
      <c r="C9" s="6" t="s">
        <v>10</v>
      </c>
      <c r="D9" s="6" t="str">
        <f>"蔡於良"</f>
        <v>蔡於良</v>
      </c>
      <c r="E9" s="6" t="str">
        <f>"男"</f>
        <v>男</v>
      </c>
      <c r="F9" s="6" t="str">
        <f t="shared" si="3"/>
        <v>汉族</v>
      </c>
      <c r="G9" s="6" t="str">
        <f t="shared" si="0"/>
        <v>中共党员</v>
      </c>
      <c r="H9" s="6" t="str">
        <f t="shared" si="1"/>
        <v>本科</v>
      </c>
      <c r="I9" s="6" t="str">
        <f t="shared" si="2"/>
        <v>汉语言文学</v>
      </c>
    </row>
    <row r="10" s="2" customFormat="1" ht="20" customHeight="1" spans="1:9">
      <c r="A10" s="6">
        <v>8</v>
      </c>
      <c r="B10" s="6" t="str">
        <f>"220720191127102131215199"</f>
        <v>220720191127102131215199</v>
      </c>
      <c r="C10" s="6" t="s">
        <v>10</v>
      </c>
      <c r="D10" s="6" t="str">
        <f>"贺怡然"</f>
        <v>贺怡然</v>
      </c>
      <c r="E10" s="6" t="str">
        <f>"女"</f>
        <v>女</v>
      </c>
      <c r="F10" s="6" t="str">
        <f t="shared" si="3"/>
        <v>汉族</v>
      </c>
      <c r="G10" s="6" t="str">
        <f t="shared" si="0"/>
        <v>中共党员</v>
      </c>
      <c r="H10" s="6" t="str">
        <f t="shared" si="1"/>
        <v>本科</v>
      </c>
      <c r="I10" s="6" t="str">
        <f t="shared" si="2"/>
        <v>汉语言文学</v>
      </c>
    </row>
    <row r="11" s="2" customFormat="1" ht="20" customHeight="1" spans="1:9">
      <c r="A11" s="6">
        <v>9</v>
      </c>
      <c r="B11" s="6" t="str">
        <f>"220720191127104245215236"</f>
        <v>220720191127104245215236</v>
      </c>
      <c r="C11" s="6" t="s">
        <v>10</v>
      </c>
      <c r="D11" s="6" t="str">
        <f>"吴俏燕"</f>
        <v>吴俏燕</v>
      </c>
      <c r="E11" s="6" t="str">
        <f>"女"</f>
        <v>女</v>
      </c>
      <c r="F11" s="6" t="str">
        <f t="shared" si="3"/>
        <v>汉族</v>
      </c>
      <c r="G11" s="6" t="str">
        <f t="shared" si="0"/>
        <v>中共党员</v>
      </c>
      <c r="H11" s="6" t="str">
        <f t="shared" si="1"/>
        <v>本科</v>
      </c>
      <c r="I11" s="6" t="str">
        <f t="shared" si="2"/>
        <v>汉语言文学</v>
      </c>
    </row>
    <row r="12" s="2" customFormat="1" ht="20" customHeight="1" spans="1:9">
      <c r="A12" s="6">
        <v>10</v>
      </c>
      <c r="B12" s="6" t="str">
        <f>"220720191127151206215602"</f>
        <v>220720191127151206215602</v>
      </c>
      <c r="C12" s="6" t="s">
        <v>10</v>
      </c>
      <c r="D12" s="6" t="str">
        <f>"张凤娟"</f>
        <v>张凤娟</v>
      </c>
      <c r="E12" s="6" t="str">
        <f>"女"</f>
        <v>女</v>
      </c>
      <c r="F12" s="6" t="str">
        <f t="shared" si="3"/>
        <v>汉族</v>
      </c>
      <c r="G12" s="6" t="str">
        <f>"预备党员"</f>
        <v>预备党员</v>
      </c>
      <c r="H12" s="6" t="str">
        <f t="shared" si="1"/>
        <v>本科</v>
      </c>
      <c r="I12" s="6" t="str">
        <f t="shared" si="2"/>
        <v>汉语言文学</v>
      </c>
    </row>
    <row r="13" s="2" customFormat="1" ht="20" customHeight="1" spans="1:9">
      <c r="A13" s="6">
        <v>11</v>
      </c>
      <c r="B13" s="6" t="str">
        <f>"220720191127215836216170"</f>
        <v>220720191127215836216170</v>
      </c>
      <c r="C13" s="6" t="s">
        <v>10</v>
      </c>
      <c r="D13" s="6" t="str">
        <f>"刘斌"</f>
        <v>刘斌</v>
      </c>
      <c r="E13" s="6" t="str">
        <f>"男"</f>
        <v>男</v>
      </c>
      <c r="F13" s="6" t="str">
        <f t="shared" si="3"/>
        <v>汉族</v>
      </c>
      <c r="G13" s="6" t="str">
        <f>"中共党员"</f>
        <v>中共党员</v>
      </c>
      <c r="H13" s="6" t="str">
        <f>"研究生"</f>
        <v>研究生</v>
      </c>
      <c r="I13" s="6" t="str">
        <f>"马克思主义哲学"</f>
        <v>马克思主义哲学</v>
      </c>
    </row>
    <row r="14" s="2" customFormat="1" ht="20" customHeight="1" spans="1:9">
      <c r="A14" s="6">
        <v>12</v>
      </c>
      <c r="B14" s="6" t="str">
        <f>"220720191127224356216221"</f>
        <v>220720191127224356216221</v>
      </c>
      <c r="C14" s="6" t="s">
        <v>10</v>
      </c>
      <c r="D14" s="6" t="str">
        <f>"陈旭"</f>
        <v>陈旭</v>
      </c>
      <c r="E14" s="6" t="str">
        <f>"女"</f>
        <v>女</v>
      </c>
      <c r="F14" s="6" t="str">
        <f t="shared" ref="F14:F25" si="4">"汉族"</f>
        <v>汉族</v>
      </c>
      <c r="G14" s="6" t="str">
        <f>"预备党员"</f>
        <v>预备党员</v>
      </c>
      <c r="H14" s="6" t="str">
        <f>"本科"</f>
        <v>本科</v>
      </c>
      <c r="I14" s="6" t="str">
        <f>"汉语言文学"</f>
        <v>汉语言文学</v>
      </c>
    </row>
    <row r="15" s="2" customFormat="1" ht="20" customHeight="1" spans="1:9">
      <c r="A15" s="6">
        <v>13</v>
      </c>
      <c r="B15" s="6" t="str">
        <f>"220720191129100514217349"</f>
        <v>220720191129100514217349</v>
      </c>
      <c r="C15" s="6" t="s">
        <v>10</v>
      </c>
      <c r="D15" s="6" t="str">
        <f>"陈定红"</f>
        <v>陈定红</v>
      </c>
      <c r="E15" s="6" t="str">
        <f>"女"</f>
        <v>女</v>
      </c>
      <c r="F15" s="6" t="str">
        <f t="shared" si="4"/>
        <v>汉族</v>
      </c>
      <c r="G15" s="6" t="str">
        <f t="shared" ref="G15:G22" si="5">"中共党员"</f>
        <v>中共党员</v>
      </c>
      <c r="H15" s="6" t="str">
        <f>"本科"</f>
        <v>本科</v>
      </c>
      <c r="I15" s="6" t="str">
        <f>"汉语言文学"</f>
        <v>汉语言文学</v>
      </c>
    </row>
    <row r="16" s="2" customFormat="1" ht="20" customHeight="1" spans="1:9">
      <c r="A16" s="6">
        <v>14</v>
      </c>
      <c r="B16" s="6" t="str">
        <f>"220720191129103058217409"</f>
        <v>220720191129103058217409</v>
      </c>
      <c r="C16" s="6" t="s">
        <v>10</v>
      </c>
      <c r="D16" s="6" t="str">
        <f>"赵元云"</f>
        <v>赵元云</v>
      </c>
      <c r="E16" s="6" t="str">
        <f>"女"</f>
        <v>女</v>
      </c>
      <c r="F16" s="6" t="str">
        <f t="shared" si="4"/>
        <v>汉族</v>
      </c>
      <c r="G16" s="6" t="str">
        <f t="shared" si="5"/>
        <v>中共党员</v>
      </c>
      <c r="H16" s="6" t="str">
        <f>"本科"</f>
        <v>本科</v>
      </c>
      <c r="I16" s="6" t="str">
        <f>"汉语言文学专业"</f>
        <v>汉语言文学专业</v>
      </c>
    </row>
    <row r="17" s="2" customFormat="1" ht="20" customHeight="1" spans="1:9">
      <c r="A17" s="6">
        <v>15</v>
      </c>
      <c r="B17" s="6" t="str">
        <f>"220720191129155243217627"</f>
        <v>220720191129155243217627</v>
      </c>
      <c r="C17" s="6" t="s">
        <v>10</v>
      </c>
      <c r="D17" s="6" t="str">
        <f>"王诒旭"</f>
        <v>王诒旭</v>
      </c>
      <c r="E17" s="6" t="str">
        <f>"男"</f>
        <v>男</v>
      </c>
      <c r="F17" s="6" t="str">
        <f t="shared" si="4"/>
        <v>汉族</v>
      </c>
      <c r="G17" s="6" t="str">
        <f t="shared" si="5"/>
        <v>中共党员</v>
      </c>
      <c r="H17" s="6" t="str">
        <f>"本科"</f>
        <v>本科</v>
      </c>
      <c r="I17" s="6" t="str">
        <f>"汉语言文学"</f>
        <v>汉语言文学</v>
      </c>
    </row>
    <row r="18" s="2" customFormat="1" ht="20" customHeight="1" spans="1:9">
      <c r="A18" s="6">
        <v>16</v>
      </c>
      <c r="B18" s="6" t="str">
        <f>"220720191129165441215028"</f>
        <v>220720191129165441215028</v>
      </c>
      <c r="C18" s="6" t="s">
        <v>10</v>
      </c>
      <c r="D18" s="6" t="str">
        <f>"龚建华"</f>
        <v>龚建华</v>
      </c>
      <c r="E18" s="6" t="str">
        <f>"女"</f>
        <v>女</v>
      </c>
      <c r="F18" s="6" t="str">
        <f t="shared" si="4"/>
        <v>汉族</v>
      </c>
      <c r="G18" s="6" t="str">
        <f t="shared" si="5"/>
        <v>中共党员</v>
      </c>
      <c r="H18" s="6" t="str">
        <f>"本科"</f>
        <v>本科</v>
      </c>
      <c r="I18" s="6" t="str">
        <f>"汉语言文学"</f>
        <v>汉语言文学</v>
      </c>
    </row>
    <row r="19" s="2" customFormat="1" ht="20" customHeight="1" spans="1:9">
      <c r="A19" s="6">
        <v>17</v>
      </c>
      <c r="B19" s="6" t="str">
        <f>"220720191130224642218257"</f>
        <v>220720191130224642218257</v>
      </c>
      <c r="C19" s="6" t="s">
        <v>10</v>
      </c>
      <c r="D19" s="6" t="str">
        <f>"马文颖"</f>
        <v>马文颖</v>
      </c>
      <c r="E19" s="6" t="str">
        <f>"女"</f>
        <v>女</v>
      </c>
      <c r="F19" s="6" t="str">
        <f t="shared" si="4"/>
        <v>汉族</v>
      </c>
      <c r="G19" s="6" t="str">
        <f t="shared" si="5"/>
        <v>中共党员</v>
      </c>
      <c r="H19" s="6" t="str">
        <f>"研究生"</f>
        <v>研究生</v>
      </c>
      <c r="I19" s="6" t="str">
        <f>"马克思主义哲学"</f>
        <v>马克思主义哲学</v>
      </c>
    </row>
    <row r="20" s="2" customFormat="1" ht="20" customHeight="1" spans="1:9">
      <c r="A20" s="6">
        <v>18</v>
      </c>
      <c r="B20" s="6" t="str">
        <f>"220720191201214800218412"</f>
        <v>220720191201214800218412</v>
      </c>
      <c r="C20" s="6" t="s">
        <v>10</v>
      </c>
      <c r="D20" s="6" t="str">
        <f>"林美秀"</f>
        <v>林美秀</v>
      </c>
      <c r="E20" s="6" t="str">
        <f>"女"</f>
        <v>女</v>
      </c>
      <c r="F20" s="6" t="str">
        <f t="shared" si="4"/>
        <v>汉族</v>
      </c>
      <c r="G20" s="6" t="str">
        <f t="shared" si="5"/>
        <v>中共党员</v>
      </c>
      <c r="H20" s="6" t="str">
        <f t="shared" ref="H20:H61" si="6">"本科"</f>
        <v>本科</v>
      </c>
      <c r="I20" s="6" t="str">
        <f>"对外汉语"</f>
        <v>对外汉语</v>
      </c>
    </row>
    <row r="21" s="2" customFormat="1" ht="20" customHeight="1" spans="1:9">
      <c r="A21" s="6">
        <v>19</v>
      </c>
      <c r="B21" s="6" t="str">
        <f>"220720191202120754218622"</f>
        <v>220720191202120754218622</v>
      </c>
      <c r="C21" s="6" t="s">
        <v>10</v>
      </c>
      <c r="D21" s="6" t="str">
        <f>"何琪"</f>
        <v>何琪</v>
      </c>
      <c r="E21" s="6" t="str">
        <f>"女"</f>
        <v>女</v>
      </c>
      <c r="F21" s="6" t="str">
        <f t="shared" si="4"/>
        <v>汉族</v>
      </c>
      <c r="G21" s="6" t="str">
        <f t="shared" si="5"/>
        <v>中共党员</v>
      </c>
      <c r="H21" s="6" t="str">
        <f t="shared" si="6"/>
        <v>本科</v>
      </c>
      <c r="I21" s="6" t="str">
        <f>"汉语言文学"</f>
        <v>汉语言文学</v>
      </c>
    </row>
    <row r="22" s="2" customFormat="1" ht="20" customHeight="1" spans="1:9">
      <c r="A22" s="6">
        <v>20</v>
      </c>
      <c r="B22" s="6" t="str">
        <f>"220720191202132549218673"</f>
        <v>220720191202132549218673</v>
      </c>
      <c r="C22" s="6" t="s">
        <v>10</v>
      </c>
      <c r="D22" s="6" t="str">
        <f>"吴慧敏"</f>
        <v>吴慧敏</v>
      </c>
      <c r="E22" s="6" t="str">
        <f>"女"</f>
        <v>女</v>
      </c>
      <c r="F22" s="6" t="str">
        <f t="shared" si="4"/>
        <v>汉族</v>
      </c>
      <c r="G22" s="6" t="str">
        <f t="shared" si="5"/>
        <v>中共党员</v>
      </c>
      <c r="H22" s="6" t="str">
        <f t="shared" si="6"/>
        <v>本科</v>
      </c>
      <c r="I22" s="6" t="str">
        <f>"汉语言文学"</f>
        <v>汉语言文学</v>
      </c>
    </row>
    <row r="23" s="2" customFormat="1" ht="20" customHeight="1" spans="1:9">
      <c r="A23" s="6">
        <v>21</v>
      </c>
      <c r="B23" s="6" t="str">
        <f>"220720191126090902213030"</f>
        <v>220720191126090902213030</v>
      </c>
      <c r="C23" s="6" t="s">
        <v>11</v>
      </c>
      <c r="D23" s="6" t="str">
        <f>"郑馨鹏"</f>
        <v>郑馨鹏</v>
      </c>
      <c r="E23" s="6" t="str">
        <f t="shared" ref="E23:E28" si="7">"男"</f>
        <v>男</v>
      </c>
      <c r="F23" s="6" t="str">
        <f t="shared" si="4"/>
        <v>汉族</v>
      </c>
      <c r="G23" s="6" t="str">
        <f>"群众"</f>
        <v>群众</v>
      </c>
      <c r="H23" s="6" t="str">
        <f t="shared" si="6"/>
        <v>本科</v>
      </c>
      <c r="I23" s="6" t="str">
        <f>"城市规划"</f>
        <v>城市规划</v>
      </c>
    </row>
    <row r="24" s="2" customFormat="1" ht="20" customHeight="1" spans="1:9">
      <c r="A24" s="6">
        <v>22</v>
      </c>
      <c r="B24" s="6" t="str">
        <f>"220720191126091257213045"</f>
        <v>220720191126091257213045</v>
      </c>
      <c r="C24" s="6" t="s">
        <v>11</v>
      </c>
      <c r="D24" s="6" t="str">
        <f>"李伟"</f>
        <v>李伟</v>
      </c>
      <c r="E24" s="6" t="str">
        <f t="shared" si="7"/>
        <v>男</v>
      </c>
      <c r="F24" s="6" t="str">
        <f t="shared" si="4"/>
        <v>汉族</v>
      </c>
      <c r="G24" s="6" t="str">
        <f>"中共党员"</f>
        <v>中共党员</v>
      </c>
      <c r="H24" s="6" t="str">
        <f t="shared" si="6"/>
        <v>本科</v>
      </c>
      <c r="I24" s="6" t="str">
        <f>"土木工程"</f>
        <v>土木工程</v>
      </c>
    </row>
    <row r="25" s="2" customFormat="1" ht="20" customHeight="1" spans="1:9">
      <c r="A25" s="6">
        <v>23</v>
      </c>
      <c r="B25" s="6" t="str">
        <f>"220720191126093132213127"</f>
        <v>220720191126093132213127</v>
      </c>
      <c r="C25" s="6" t="s">
        <v>11</v>
      </c>
      <c r="D25" s="6" t="str">
        <f>"张俊杰"</f>
        <v>张俊杰</v>
      </c>
      <c r="E25" s="6" t="str">
        <f t="shared" si="7"/>
        <v>男</v>
      </c>
      <c r="F25" s="6" t="str">
        <f t="shared" si="4"/>
        <v>汉族</v>
      </c>
      <c r="G25" s="6" t="str">
        <f>"团员"</f>
        <v>团员</v>
      </c>
      <c r="H25" s="6" t="str">
        <f t="shared" si="6"/>
        <v>本科</v>
      </c>
      <c r="I25" s="6" t="str">
        <f>"土木工程"</f>
        <v>土木工程</v>
      </c>
    </row>
    <row r="26" s="2" customFormat="1" ht="20" customHeight="1" spans="1:9">
      <c r="A26" s="6">
        <v>24</v>
      </c>
      <c r="B26" s="6" t="str">
        <f>"220720191126102332213348"</f>
        <v>220720191126102332213348</v>
      </c>
      <c r="C26" s="6" t="s">
        <v>11</v>
      </c>
      <c r="D26" s="6" t="str">
        <f>"林家乐"</f>
        <v>林家乐</v>
      </c>
      <c r="E26" s="6" t="str">
        <f t="shared" si="7"/>
        <v>男</v>
      </c>
      <c r="F26" s="6" t="str">
        <f>"黎族"</f>
        <v>黎族</v>
      </c>
      <c r="G26" s="6" t="str">
        <f>"群众"</f>
        <v>群众</v>
      </c>
      <c r="H26" s="6" t="str">
        <f t="shared" si="6"/>
        <v>本科</v>
      </c>
      <c r="I26" s="6" t="str">
        <f>"土木工程"</f>
        <v>土木工程</v>
      </c>
    </row>
    <row r="27" s="2" customFormat="1" ht="20" customHeight="1" spans="1:9">
      <c r="A27" s="6">
        <v>25</v>
      </c>
      <c r="B27" s="6" t="str">
        <f>"220720191126110803213502"</f>
        <v>220720191126110803213502</v>
      </c>
      <c r="C27" s="6" t="s">
        <v>11</v>
      </c>
      <c r="D27" s="6" t="str">
        <f>"江鹏"</f>
        <v>江鹏</v>
      </c>
      <c r="E27" s="6" t="str">
        <f t="shared" si="7"/>
        <v>男</v>
      </c>
      <c r="F27" s="6" t="str">
        <f t="shared" ref="F27:F38" si="8">"汉族"</f>
        <v>汉族</v>
      </c>
      <c r="G27" s="6" t="str">
        <f>"群众"</f>
        <v>群众</v>
      </c>
      <c r="H27" s="6" t="str">
        <f t="shared" si="6"/>
        <v>本科</v>
      </c>
      <c r="I27" s="6" t="str">
        <f>"道路与桥梁工程"</f>
        <v>道路与桥梁工程</v>
      </c>
    </row>
    <row r="28" s="2" customFormat="1" ht="20" customHeight="1" spans="1:9">
      <c r="A28" s="6">
        <v>26</v>
      </c>
      <c r="B28" s="6" t="str">
        <f>"220720191126171501214325"</f>
        <v>220720191126171501214325</v>
      </c>
      <c r="C28" s="6" t="s">
        <v>11</v>
      </c>
      <c r="D28" s="6" t="str">
        <f>"李林飞"</f>
        <v>李林飞</v>
      </c>
      <c r="E28" s="6" t="str">
        <f t="shared" si="7"/>
        <v>男</v>
      </c>
      <c r="F28" s="6" t="str">
        <f t="shared" si="8"/>
        <v>汉族</v>
      </c>
      <c r="G28" s="6" t="str">
        <f>"群众"</f>
        <v>群众</v>
      </c>
      <c r="H28" s="6" t="str">
        <f t="shared" si="6"/>
        <v>本科</v>
      </c>
      <c r="I28" s="6" t="str">
        <f>"土木工程"</f>
        <v>土木工程</v>
      </c>
    </row>
    <row r="29" s="2" customFormat="1" ht="20" customHeight="1" spans="1:9">
      <c r="A29" s="6">
        <v>27</v>
      </c>
      <c r="B29" s="6" t="str">
        <f>"220720191126173709214371"</f>
        <v>220720191126173709214371</v>
      </c>
      <c r="C29" s="6" t="s">
        <v>11</v>
      </c>
      <c r="D29" s="6" t="str">
        <f>"曾钰"</f>
        <v>曾钰</v>
      </c>
      <c r="E29" s="6" t="str">
        <f>"女"</f>
        <v>女</v>
      </c>
      <c r="F29" s="6" t="str">
        <f t="shared" si="8"/>
        <v>汉族</v>
      </c>
      <c r="G29" s="6" t="str">
        <f>"中共党员"</f>
        <v>中共党员</v>
      </c>
      <c r="H29" s="6" t="str">
        <f t="shared" si="6"/>
        <v>本科</v>
      </c>
      <c r="I29" s="6" t="str">
        <f>"资源环境与城乡规划管理"</f>
        <v>资源环境与城乡规划管理</v>
      </c>
    </row>
    <row r="30" s="2" customFormat="1" ht="20" customHeight="1" spans="1:9">
      <c r="A30" s="6">
        <v>28</v>
      </c>
      <c r="B30" s="6" t="str">
        <f>"220720191126175222214399"</f>
        <v>220720191126175222214399</v>
      </c>
      <c r="C30" s="6" t="s">
        <v>11</v>
      </c>
      <c r="D30" s="6" t="str">
        <f>"侯雯雯"</f>
        <v>侯雯雯</v>
      </c>
      <c r="E30" s="6" t="str">
        <f>"女"</f>
        <v>女</v>
      </c>
      <c r="F30" s="6" t="str">
        <f t="shared" si="8"/>
        <v>汉族</v>
      </c>
      <c r="G30" s="6" t="str">
        <f>"中共党员"</f>
        <v>中共党员</v>
      </c>
      <c r="H30" s="6" t="str">
        <f t="shared" si="6"/>
        <v>本科</v>
      </c>
      <c r="I30" s="6" t="str">
        <f>"资源环境与城乡规划管理"</f>
        <v>资源环境与城乡规划管理</v>
      </c>
    </row>
    <row r="31" s="2" customFormat="1" ht="20" customHeight="1" spans="1:9">
      <c r="A31" s="6">
        <v>29</v>
      </c>
      <c r="B31" s="6" t="str">
        <f>"220720191126180511214425"</f>
        <v>220720191126180511214425</v>
      </c>
      <c r="C31" s="6" t="s">
        <v>11</v>
      </c>
      <c r="D31" s="6" t="str">
        <f>"辛小润"</f>
        <v>辛小润</v>
      </c>
      <c r="E31" s="6" t="str">
        <f>"男"</f>
        <v>男</v>
      </c>
      <c r="F31" s="6" t="str">
        <f t="shared" si="8"/>
        <v>汉族</v>
      </c>
      <c r="G31" s="6" t="str">
        <f>"群众"</f>
        <v>群众</v>
      </c>
      <c r="H31" s="6" t="str">
        <f t="shared" si="6"/>
        <v>本科</v>
      </c>
      <c r="I31" s="6" t="str">
        <f>"资源环境与城乡规划管理"</f>
        <v>资源环境与城乡规划管理</v>
      </c>
    </row>
    <row r="32" s="2" customFormat="1" ht="20" customHeight="1" spans="1:9">
      <c r="A32" s="6">
        <v>30</v>
      </c>
      <c r="B32" s="6" t="str">
        <f>"220720191126195450214595"</f>
        <v>220720191126195450214595</v>
      </c>
      <c r="C32" s="6" t="s">
        <v>11</v>
      </c>
      <c r="D32" s="6" t="str">
        <f>"符锐"</f>
        <v>符锐</v>
      </c>
      <c r="E32" s="6" t="str">
        <f>"男"</f>
        <v>男</v>
      </c>
      <c r="F32" s="6" t="str">
        <f t="shared" si="8"/>
        <v>汉族</v>
      </c>
      <c r="G32" s="6" t="str">
        <f>"团员"</f>
        <v>团员</v>
      </c>
      <c r="H32" s="6" t="str">
        <f t="shared" si="6"/>
        <v>本科</v>
      </c>
      <c r="I32" s="6" t="str">
        <f>"土木工程"</f>
        <v>土木工程</v>
      </c>
    </row>
    <row r="33" s="2" customFormat="1" ht="20" customHeight="1" spans="1:9">
      <c r="A33" s="6">
        <v>31</v>
      </c>
      <c r="B33" s="6" t="str">
        <f>"220720191126211947214758"</f>
        <v>220720191126211947214758</v>
      </c>
      <c r="C33" s="6" t="s">
        <v>11</v>
      </c>
      <c r="D33" s="6" t="str">
        <f>"张文洁"</f>
        <v>张文洁</v>
      </c>
      <c r="E33" s="6" t="str">
        <f>"女"</f>
        <v>女</v>
      </c>
      <c r="F33" s="6" t="str">
        <f t="shared" si="8"/>
        <v>汉族</v>
      </c>
      <c r="G33" s="6" t="str">
        <f>"群众"</f>
        <v>群众</v>
      </c>
      <c r="H33" s="6" t="str">
        <f t="shared" si="6"/>
        <v>本科</v>
      </c>
      <c r="I33" s="6" t="str">
        <f>"建筑环境与设备工程"</f>
        <v>建筑环境与设备工程</v>
      </c>
    </row>
    <row r="34" s="2" customFormat="1" ht="20" customHeight="1" spans="1:9">
      <c r="A34" s="6">
        <v>32</v>
      </c>
      <c r="B34" s="6" t="str">
        <f>"220720191126221431214849"</f>
        <v>220720191126221431214849</v>
      </c>
      <c r="C34" s="6" t="s">
        <v>11</v>
      </c>
      <c r="D34" s="6" t="str">
        <f>"叶琦"</f>
        <v>叶琦</v>
      </c>
      <c r="E34" s="6" t="str">
        <f t="shared" ref="E34:E42" si="9">"男"</f>
        <v>男</v>
      </c>
      <c r="F34" s="6" t="str">
        <f t="shared" si="8"/>
        <v>汉族</v>
      </c>
      <c r="G34" s="6" t="str">
        <f>"团员"</f>
        <v>团员</v>
      </c>
      <c r="H34" s="6" t="str">
        <f t="shared" si="6"/>
        <v>本科</v>
      </c>
      <c r="I34" s="6" t="str">
        <f>"资源环境与城乡规划管理"</f>
        <v>资源环境与城乡规划管理</v>
      </c>
    </row>
    <row r="35" s="2" customFormat="1" ht="20" customHeight="1" spans="1:9">
      <c r="A35" s="6">
        <v>33</v>
      </c>
      <c r="B35" s="6" t="str">
        <f>"220720191126225829214918"</f>
        <v>220720191126225829214918</v>
      </c>
      <c r="C35" s="6" t="s">
        <v>11</v>
      </c>
      <c r="D35" s="6" t="str">
        <f>"谢泓杉"</f>
        <v>谢泓杉</v>
      </c>
      <c r="E35" s="6" t="str">
        <f t="shared" si="9"/>
        <v>男</v>
      </c>
      <c r="F35" s="6" t="str">
        <f t="shared" si="8"/>
        <v>汉族</v>
      </c>
      <c r="G35" s="6" t="str">
        <f>"群众"</f>
        <v>群众</v>
      </c>
      <c r="H35" s="6" t="str">
        <f t="shared" si="6"/>
        <v>本科</v>
      </c>
      <c r="I35" s="6" t="str">
        <f>"建筑设施智能技术"</f>
        <v>建筑设施智能技术</v>
      </c>
    </row>
    <row r="36" s="2" customFormat="1" ht="20" customHeight="1" spans="1:9">
      <c r="A36" s="6">
        <v>34</v>
      </c>
      <c r="B36" s="6" t="str">
        <f>"220720191127092356215098"</f>
        <v>220720191127092356215098</v>
      </c>
      <c r="C36" s="6" t="s">
        <v>11</v>
      </c>
      <c r="D36" s="6" t="str">
        <f>"蒙威任"</f>
        <v>蒙威任</v>
      </c>
      <c r="E36" s="6" t="str">
        <f t="shared" si="9"/>
        <v>男</v>
      </c>
      <c r="F36" s="6" t="str">
        <f t="shared" si="8"/>
        <v>汉族</v>
      </c>
      <c r="G36" s="6" t="str">
        <f>"群众"</f>
        <v>群众</v>
      </c>
      <c r="H36" s="6" t="str">
        <f t="shared" si="6"/>
        <v>本科</v>
      </c>
      <c r="I36" s="6" t="str">
        <f>"土木工程 "</f>
        <v>土木工程 </v>
      </c>
    </row>
    <row r="37" s="2" customFormat="1" ht="20" customHeight="1" spans="1:9">
      <c r="A37" s="6">
        <v>35</v>
      </c>
      <c r="B37" s="6" t="str">
        <f>"220720191127104152215234"</f>
        <v>220720191127104152215234</v>
      </c>
      <c r="C37" s="6" t="s">
        <v>11</v>
      </c>
      <c r="D37" s="6" t="str">
        <f>"翁振达"</f>
        <v>翁振达</v>
      </c>
      <c r="E37" s="6" t="str">
        <f t="shared" si="9"/>
        <v>男</v>
      </c>
      <c r="F37" s="6" t="str">
        <f t="shared" si="8"/>
        <v>汉族</v>
      </c>
      <c r="G37" s="6" t="str">
        <f>"团员"</f>
        <v>团员</v>
      </c>
      <c r="H37" s="6" t="str">
        <f t="shared" si="6"/>
        <v>本科</v>
      </c>
      <c r="I37" s="6" t="str">
        <f>"土木工程"</f>
        <v>土木工程</v>
      </c>
    </row>
    <row r="38" s="2" customFormat="1" ht="20" customHeight="1" spans="1:9">
      <c r="A38" s="6">
        <v>36</v>
      </c>
      <c r="B38" s="6" t="str">
        <f>"220720191127143512215548"</f>
        <v>220720191127143512215548</v>
      </c>
      <c r="C38" s="6" t="s">
        <v>11</v>
      </c>
      <c r="D38" s="6" t="str">
        <f>"吴立"</f>
        <v>吴立</v>
      </c>
      <c r="E38" s="6" t="str">
        <f t="shared" si="9"/>
        <v>男</v>
      </c>
      <c r="F38" s="6" t="str">
        <f t="shared" si="8"/>
        <v>汉族</v>
      </c>
      <c r="G38" s="6" t="str">
        <f>"群众"</f>
        <v>群众</v>
      </c>
      <c r="H38" s="6" t="str">
        <f t="shared" si="6"/>
        <v>本科</v>
      </c>
      <c r="I38" s="6" t="str">
        <f>"土木工程"</f>
        <v>土木工程</v>
      </c>
    </row>
    <row r="39" s="2" customFormat="1" ht="20" customHeight="1" spans="1:9">
      <c r="A39" s="6">
        <v>37</v>
      </c>
      <c r="B39" s="6" t="str">
        <f>"220720191127151414215608"</f>
        <v>220720191127151414215608</v>
      </c>
      <c r="C39" s="6" t="s">
        <v>11</v>
      </c>
      <c r="D39" s="6" t="str">
        <f>"张生开"</f>
        <v>张生开</v>
      </c>
      <c r="E39" s="6" t="str">
        <f t="shared" si="9"/>
        <v>男</v>
      </c>
      <c r="F39" s="6" t="str">
        <f>"黎族"</f>
        <v>黎族</v>
      </c>
      <c r="G39" s="6" t="str">
        <f>"团员"</f>
        <v>团员</v>
      </c>
      <c r="H39" s="6" t="str">
        <f t="shared" si="6"/>
        <v>本科</v>
      </c>
      <c r="I39" s="6" t="str">
        <f>"城市规划"</f>
        <v>城市规划</v>
      </c>
    </row>
    <row r="40" s="2" customFormat="1" ht="20" customHeight="1" spans="1:9">
      <c r="A40" s="6">
        <v>38</v>
      </c>
      <c r="B40" s="6" t="str">
        <f>"220720191127152231215624"</f>
        <v>220720191127152231215624</v>
      </c>
      <c r="C40" s="6" t="s">
        <v>11</v>
      </c>
      <c r="D40" s="6" t="str">
        <f>"房尉"</f>
        <v>房尉</v>
      </c>
      <c r="E40" s="6" t="str">
        <f t="shared" si="9"/>
        <v>男</v>
      </c>
      <c r="F40" s="6" t="str">
        <f t="shared" ref="F40:F50" si="10">"汉族"</f>
        <v>汉族</v>
      </c>
      <c r="G40" s="6" t="str">
        <f>"群众"</f>
        <v>群众</v>
      </c>
      <c r="H40" s="6" t="str">
        <f t="shared" si="6"/>
        <v>本科</v>
      </c>
      <c r="I40" s="6" t="str">
        <f>"风景园林"</f>
        <v>风景园林</v>
      </c>
    </row>
    <row r="41" s="2" customFormat="1" ht="20" customHeight="1" spans="1:9">
      <c r="A41" s="6">
        <v>39</v>
      </c>
      <c r="B41" s="6" t="str">
        <f>"220720191127214744216155"</f>
        <v>220720191127214744216155</v>
      </c>
      <c r="C41" s="6" t="s">
        <v>11</v>
      </c>
      <c r="D41" s="6" t="str">
        <f>"吴才峰"</f>
        <v>吴才峰</v>
      </c>
      <c r="E41" s="6" t="str">
        <f t="shared" si="9"/>
        <v>男</v>
      </c>
      <c r="F41" s="6" t="str">
        <f t="shared" si="10"/>
        <v>汉族</v>
      </c>
      <c r="G41" s="6" t="str">
        <f>"群众"</f>
        <v>群众</v>
      </c>
      <c r="H41" s="6" t="str">
        <f t="shared" si="6"/>
        <v>本科</v>
      </c>
      <c r="I41" s="6" t="str">
        <f>"土木工程"</f>
        <v>土木工程</v>
      </c>
    </row>
    <row r="42" s="2" customFormat="1" ht="20" customHeight="1" spans="1:9">
      <c r="A42" s="6">
        <v>40</v>
      </c>
      <c r="B42" s="6" t="str">
        <f>"220720191127232030216249"</f>
        <v>220720191127232030216249</v>
      </c>
      <c r="C42" s="6" t="s">
        <v>11</v>
      </c>
      <c r="D42" s="6" t="str">
        <f>"王平东"</f>
        <v>王平东</v>
      </c>
      <c r="E42" s="6" t="str">
        <f t="shared" si="9"/>
        <v>男</v>
      </c>
      <c r="F42" s="6" t="str">
        <f t="shared" si="10"/>
        <v>汉族</v>
      </c>
      <c r="G42" s="6" t="str">
        <f>"团员"</f>
        <v>团员</v>
      </c>
      <c r="H42" s="6" t="str">
        <f t="shared" si="6"/>
        <v>本科</v>
      </c>
      <c r="I42" s="6" t="str">
        <f>"土木工程"</f>
        <v>土木工程</v>
      </c>
    </row>
    <row r="43" s="2" customFormat="1" ht="20" customHeight="1" spans="1:9">
      <c r="A43" s="6">
        <v>41</v>
      </c>
      <c r="B43" s="6" t="str">
        <f>"220720191128100840216442"</f>
        <v>220720191128100840216442</v>
      </c>
      <c r="C43" s="6" t="s">
        <v>11</v>
      </c>
      <c r="D43" s="6" t="str">
        <f>"钟少端"</f>
        <v>钟少端</v>
      </c>
      <c r="E43" s="6" t="str">
        <f>"女"</f>
        <v>女</v>
      </c>
      <c r="F43" s="6" t="str">
        <f t="shared" si="10"/>
        <v>汉族</v>
      </c>
      <c r="G43" s="6" t="str">
        <f>"团员"</f>
        <v>团员</v>
      </c>
      <c r="H43" s="6" t="str">
        <f t="shared" si="6"/>
        <v>本科</v>
      </c>
      <c r="I43" s="6" t="str">
        <f>"城市地下空间工程"</f>
        <v>城市地下空间工程</v>
      </c>
    </row>
    <row r="44" s="2" customFormat="1" ht="20" customHeight="1" spans="1:9">
      <c r="A44" s="6">
        <v>42</v>
      </c>
      <c r="B44" s="6" t="str">
        <f>"220720191128212830217196"</f>
        <v>220720191128212830217196</v>
      </c>
      <c r="C44" s="6" t="s">
        <v>11</v>
      </c>
      <c r="D44" s="6" t="str">
        <f>"郑金杏"</f>
        <v>郑金杏</v>
      </c>
      <c r="E44" s="6" t="str">
        <f>"女"</f>
        <v>女</v>
      </c>
      <c r="F44" s="6" t="str">
        <f t="shared" si="10"/>
        <v>汉族</v>
      </c>
      <c r="G44" s="6" t="str">
        <f>"群众"</f>
        <v>群众</v>
      </c>
      <c r="H44" s="6" t="str">
        <f t="shared" si="6"/>
        <v>本科</v>
      </c>
      <c r="I44" s="6" t="str">
        <f>"景观学"</f>
        <v>景观学</v>
      </c>
    </row>
    <row r="45" s="2" customFormat="1" ht="20" customHeight="1" spans="1:9">
      <c r="A45" s="6">
        <v>43</v>
      </c>
      <c r="B45" s="6" t="str">
        <f>"220720191129151127217591"</f>
        <v>220720191129151127217591</v>
      </c>
      <c r="C45" s="6" t="s">
        <v>11</v>
      </c>
      <c r="D45" s="6" t="str">
        <f>"邢增保"</f>
        <v>邢增保</v>
      </c>
      <c r="E45" s="6" t="str">
        <f>"男"</f>
        <v>男</v>
      </c>
      <c r="F45" s="6" t="str">
        <f t="shared" si="10"/>
        <v>汉族</v>
      </c>
      <c r="G45" s="6" t="str">
        <f>"中共党员"</f>
        <v>中共党员</v>
      </c>
      <c r="H45" s="6" t="str">
        <f t="shared" si="6"/>
        <v>本科</v>
      </c>
      <c r="I45" s="6" t="str">
        <f>"土木工程"</f>
        <v>土木工程</v>
      </c>
    </row>
    <row r="46" s="2" customFormat="1" ht="20" customHeight="1" spans="1:9">
      <c r="A46" s="6">
        <v>44</v>
      </c>
      <c r="B46" s="6" t="str">
        <f>"220720191129162743217652"</f>
        <v>220720191129162743217652</v>
      </c>
      <c r="C46" s="6" t="s">
        <v>11</v>
      </c>
      <c r="D46" s="6" t="str">
        <f>"高忠兴"</f>
        <v>高忠兴</v>
      </c>
      <c r="E46" s="6" t="str">
        <f>"男"</f>
        <v>男</v>
      </c>
      <c r="F46" s="6" t="str">
        <f t="shared" si="10"/>
        <v>汉族</v>
      </c>
      <c r="G46" s="6" t="str">
        <f>"团员"</f>
        <v>团员</v>
      </c>
      <c r="H46" s="6" t="str">
        <f t="shared" si="6"/>
        <v>本科</v>
      </c>
      <c r="I46" s="6" t="str">
        <f>"土木工程（建筑工程）"</f>
        <v>土木工程（建筑工程）</v>
      </c>
    </row>
    <row r="47" s="2" customFormat="1" ht="20" customHeight="1" spans="1:9">
      <c r="A47" s="6">
        <v>45</v>
      </c>
      <c r="B47" s="6" t="str">
        <f>"220720191129192055217756"</f>
        <v>220720191129192055217756</v>
      </c>
      <c r="C47" s="6" t="s">
        <v>11</v>
      </c>
      <c r="D47" s="6" t="str">
        <f>"符小娜"</f>
        <v>符小娜</v>
      </c>
      <c r="E47" s="6" t="str">
        <f>"女"</f>
        <v>女</v>
      </c>
      <c r="F47" s="6" t="str">
        <f t="shared" si="10"/>
        <v>汉族</v>
      </c>
      <c r="G47" s="6" t="str">
        <f>"团员"</f>
        <v>团员</v>
      </c>
      <c r="H47" s="6" t="str">
        <f t="shared" si="6"/>
        <v>本科</v>
      </c>
      <c r="I47" s="6" t="str">
        <f>"风景园林"</f>
        <v>风景园林</v>
      </c>
    </row>
    <row r="48" s="2" customFormat="1" ht="20" customHeight="1" spans="1:9">
      <c r="A48" s="6">
        <v>46</v>
      </c>
      <c r="B48" s="6" t="str">
        <f>"220720191129212113215952"</f>
        <v>220720191129212113215952</v>
      </c>
      <c r="C48" s="6" t="s">
        <v>11</v>
      </c>
      <c r="D48" s="6" t="str">
        <f>"黄梢"</f>
        <v>黄梢</v>
      </c>
      <c r="E48" s="6" t="str">
        <f>"男"</f>
        <v>男</v>
      </c>
      <c r="F48" s="6" t="str">
        <f t="shared" si="10"/>
        <v>汉族</v>
      </c>
      <c r="G48" s="6" t="str">
        <f>"群众"</f>
        <v>群众</v>
      </c>
      <c r="H48" s="6" t="str">
        <f t="shared" si="6"/>
        <v>本科</v>
      </c>
      <c r="I48" s="6" t="str">
        <f>"土木工程"</f>
        <v>土木工程</v>
      </c>
    </row>
    <row r="49" s="2" customFormat="1" ht="20" customHeight="1" spans="1:9">
      <c r="A49" s="6">
        <v>47</v>
      </c>
      <c r="B49" s="6" t="str">
        <f>"220720191129212510217829"</f>
        <v>220720191129212510217829</v>
      </c>
      <c r="C49" s="6" t="s">
        <v>11</v>
      </c>
      <c r="D49" s="6" t="str">
        <f>"林惠敏"</f>
        <v>林惠敏</v>
      </c>
      <c r="E49" s="6" t="str">
        <f>"女"</f>
        <v>女</v>
      </c>
      <c r="F49" s="6" t="str">
        <f t="shared" si="10"/>
        <v>汉族</v>
      </c>
      <c r="G49" s="6" t="str">
        <f>"群众"</f>
        <v>群众</v>
      </c>
      <c r="H49" s="6" t="str">
        <f t="shared" si="6"/>
        <v>本科</v>
      </c>
      <c r="I49" s="6" t="str">
        <f>"工程管理"</f>
        <v>工程管理</v>
      </c>
    </row>
    <row r="50" s="2" customFormat="1" ht="20" customHeight="1" spans="1:9">
      <c r="A50" s="6">
        <v>48</v>
      </c>
      <c r="B50" s="6" t="str">
        <f>"220720191130113644216250"</f>
        <v>220720191130113644216250</v>
      </c>
      <c r="C50" s="6" t="s">
        <v>11</v>
      </c>
      <c r="D50" s="6" t="str">
        <f>"郑灵"</f>
        <v>郑灵</v>
      </c>
      <c r="E50" s="6" t="str">
        <f>"女"</f>
        <v>女</v>
      </c>
      <c r="F50" s="6" t="str">
        <f t="shared" si="10"/>
        <v>汉族</v>
      </c>
      <c r="G50" s="6" t="str">
        <f>"团员"</f>
        <v>团员</v>
      </c>
      <c r="H50" s="6" t="str">
        <f t="shared" si="6"/>
        <v>本科</v>
      </c>
      <c r="I50" s="6" t="str">
        <f>"城市规划"</f>
        <v>城市规划</v>
      </c>
    </row>
    <row r="51" s="2" customFormat="1" ht="20" customHeight="1" spans="1:9">
      <c r="A51" s="6">
        <v>49</v>
      </c>
      <c r="B51" s="6" t="str">
        <f>"220720191130170123218184"</f>
        <v>220720191130170123218184</v>
      </c>
      <c r="C51" s="6" t="s">
        <v>11</v>
      </c>
      <c r="D51" s="6" t="str">
        <f>"邓聪"</f>
        <v>邓聪</v>
      </c>
      <c r="E51" s="6" t="str">
        <f t="shared" ref="E51:E60" si="11">"男"</f>
        <v>男</v>
      </c>
      <c r="F51" s="6" t="str">
        <f>"黎族"</f>
        <v>黎族</v>
      </c>
      <c r="G51" s="6" t="str">
        <f>"群众"</f>
        <v>群众</v>
      </c>
      <c r="H51" s="6" t="str">
        <f t="shared" si="6"/>
        <v>本科</v>
      </c>
      <c r="I51" s="6" t="str">
        <f>"土木工程"</f>
        <v>土木工程</v>
      </c>
    </row>
    <row r="52" s="2" customFormat="1" ht="20" customHeight="1" spans="1:9">
      <c r="A52" s="6">
        <v>50</v>
      </c>
      <c r="B52" s="6" t="str">
        <f>"220720191130231507218263"</f>
        <v>220720191130231507218263</v>
      </c>
      <c r="C52" s="6" t="s">
        <v>11</v>
      </c>
      <c r="D52" s="6" t="str">
        <f>"叶伟作"</f>
        <v>叶伟作</v>
      </c>
      <c r="E52" s="6" t="str">
        <f t="shared" si="11"/>
        <v>男</v>
      </c>
      <c r="F52" s="6" t="str">
        <f>"黎族"</f>
        <v>黎族</v>
      </c>
      <c r="G52" s="6" t="str">
        <f>"群众"</f>
        <v>群众</v>
      </c>
      <c r="H52" s="6" t="str">
        <f t="shared" si="6"/>
        <v>本科</v>
      </c>
      <c r="I52" s="6" t="str">
        <f>"土木工程"</f>
        <v>土木工程</v>
      </c>
    </row>
    <row r="53" s="2" customFormat="1" ht="20" customHeight="1" spans="1:9">
      <c r="A53" s="6">
        <v>51</v>
      </c>
      <c r="B53" s="6" t="str">
        <f>"220720191201101852218292"</f>
        <v>220720191201101852218292</v>
      </c>
      <c r="C53" s="6" t="s">
        <v>11</v>
      </c>
      <c r="D53" s="6" t="str">
        <f>"肖锦"</f>
        <v>肖锦</v>
      </c>
      <c r="E53" s="6" t="str">
        <f t="shared" si="11"/>
        <v>男</v>
      </c>
      <c r="F53" s="6" t="str">
        <f t="shared" ref="F53:F62" si="12">"汉族"</f>
        <v>汉族</v>
      </c>
      <c r="G53" s="6" t="str">
        <f>"团员"</f>
        <v>团员</v>
      </c>
      <c r="H53" s="6" t="str">
        <f t="shared" si="6"/>
        <v>本科</v>
      </c>
      <c r="I53" s="6" t="str">
        <f>"土木工程"</f>
        <v>土木工程</v>
      </c>
    </row>
    <row r="54" s="2" customFormat="1" ht="20" customHeight="1" spans="1:9">
      <c r="A54" s="6">
        <v>52</v>
      </c>
      <c r="B54" s="6" t="str">
        <f>"220720191201153505218344"</f>
        <v>220720191201153505218344</v>
      </c>
      <c r="C54" s="6" t="s">
        <v>11</v>
      </c>
      <c r="D54" s="6" t="str">
        <f>"彭文强"</f>
        <v>彭文强</v>
      </c>
      <c r="E54" s="6" t="str">
        <f t="shared" si="11"/>
        <v>男</v>
      </c>
      <c r="F54" s="6" t="str">
        <f t="shared" si="12"/>
        <v>汉族</v>
      </c>
      <c r="G54" s="6" t="str">
        <f t="shared" ref="G54:G61" si="13">"群众"</f>
        <v>群众</v>
      </c>
      <c r="H54" s="6" t="str">
        <f t="shared" si="6"/>
        <v>本科</v>
      </c>
      <c r="I54" s="6" t="str">
        <f>"建筑学"</f>
        <v>建筑学</v>
      </c>
    </row>
    <row r="55" s="2" customFormat="1" ht="20" customHeight="1" spans="1:9">
      <c r="A55" s="6">
        <v>53</v>
      </c>
      <c r="B55" s="6" t="str">
        <f>"220720191201200631218391"</f>
        <v>220720191201200631218391</v>
      </c>
      <c r="C55" s="6" t="s">
        <v>11</v>
      </c>
      <c r="D55" s="6" t="str">
        <f>"王强"</f>
        <v>王强</v>
      </c>
      <c r="E55" s="6" t="str">
        <f t="shared" si="11"/>
        <v>男</v>
      </c>
      <c r="F55" s="6" t="str">
        <f t="shared" si="12"/>
        <v>汉族</v>
      </c>
      <c r="G55" s="6" t="str">
        <f t="shared" si="13"/>
        <v>群众</v>
      </c>
      <c r="H55" s="6" t="str">
        <f t="shared" si="6"/>
        <v>本科</v>
      </c>
      <c r="I55" s="6" t="str">
        <f>"土木工程"</f>
        <v>土木工程</v>
      </c>
    </row>
    <row r="56" s="2" customFormat="1" ht="20" customHeight="1" spans="1:9">
      <c r="A56" s="6">
        <v>54</v>
      </c>
      <c r="B56" s="6" t="str">
        <f>"220720191201212506218405"</f>
        <v>220720191201212506218405</v>
      </c>
      <c r="C56" s="6" t="s">
        <v>11</v>
      </c>
      <c r="D56" s="6" t="str">
        <f>"王中文"</f>
        <v>王中文</v>
      </c>
      <c r="E56" s="6" t="str">
        <f t="shared" si="11"/>
        <v>男</v>
      </c>
      <c r="F56" s="6" t="str">
        <f t="shared" si="12"/>
        <v>汉族</v>
      </c>
      <c r="G56" s="6" t="str">
        <f t="shared" si="13"/>
        <v>群众</v>
      </c>
      <c r="H56" s="6" t="str">
        <f t="shared" si="6"/>
        <v>本科</v>
      </c>
      <c r="I56" s="6" t="str">
        <f>"城市规划"</f>
        <v>城市规划</v>
      </c>
    </row>
    <row r="57" s="2" customFormat="1" ht="20" customHeight="1" spans="1:9">
      <c r="A57" s="6">
        <v>55</v>
      </c>
      <c r="B57" s="6" t="str">
        <f>"220720191202000127218441"</f>
        <v>220720191202000127218441</v>
      </c>
      <c r="C57" s="6" t="s">
        <v>11</v>
      </c>
      <c r="D57" s="6" t="str">
        <f>"陈铁文"</f>
        <v>陈铁文</v>
      </c>
      <c r="E57" s="6" t="str">
        <f t="shared" si="11"/>
        <v>男</v>
      </c>
      <c r="F57" s="6" t="str">
        <f t="shared" si="12"/>
        <v>汉族</v>
      </c>
      <c r="G57" s="6" t="str">
        <f t="shared" si="13"/>
        <v>群众</v>
      </c>
      <c r="H57" s="6" t="str">
        <f t="shared" si="6"/>
        <v>本科</v>
      </c>
      <c r="I57" s="6" t="str">
        <f>"土木工程（交通土建工程方向）"</f>
        <v>土木工程（交通土建工程方向）</v>
      </c>
    </row>
    <row r="58" s="2" customFormat="1" ht="20" customHeight="1" spans="1:9">
      <c r="A58" s="6">
        <v>56</v>
      </c>
      <c r="B58" s="6" t="str">
        <f>"220720191202091922218486"</f>
        <v>220720191202091922218486</v>
      </c>
      <c r="C58" s="6" t="s">
        <v>11</v>
      </c>
      <c r="D58" s="6" t="str">
        <f>"谭金飞"</f>
        <v>谭金飞</v>
      </c>
      <c r="E58" s="6" t="str">
        <f t="shared" si="11"/>
        <v>男</v>
      </c>
      <c r="F58" s="6" t="str">
        <f t="shared" si="12"/>
        <v>汉族</v>
      </c>
      <c r="G58" s="6" t="str">
        <f t="shared" si="13"/>
        <v>群众</v>
      </c>
      <c r="H58" s="6" t="str">
        <f t="shared" si="6"/>
        <v>本科</v>
      </c>
      <c r="I58" s="6" t="str">
        <f>"土木工程（建筑工程方向）"</f>
        <v>土木工程（建筑工程方向）</v>
      </c>
    </row>
    <row r="59" s="2" customFormat="1" ht="20" customHeight="1" spans="1:9">
      <c r="A59" s="6">
        <v>57</v>
      </c>
      <c r="B59" s="6" t="str">
        <f>"220720191202093216218508"</f>
        <v>220720191202093216218508</v>
      </c>
      <c r="C59" s="6" t="s">
        <v>11</v>
      </c>
      <c r="D59" s="6" t="str">
        <f>"高国平"</f>
        <v>高国平</v>
      </c>
      <c r="E59" s="6" t="str">
        <f t="shared" si="11"/>
        <v>男</v>
      </c>
      <c r="F59" s="6" t="str">
        <f t="shared" si="12"/>
        <v>汉族</v>
      </c>
      <c r="G59" s="6" t="str">
        <f t="shared" si="13"/>
        <v>群众</v>
      </c>
      <c r="H59" s="6" t="str">
        <f t="shared" si="6"/>
        <v>本科</v>
      </c>
      <c r="I59" s="6" t="str">
        <f>"工程造价"</f>
        <v>工程造价</v>
      </c>
    </row>
    <row r="60" s="2" customFormat="1" ht="20" customHeight="1" spans="1:9">
      <c r="A60" s="6">
        <v>58</v>
      </c>
      <c r="B60" s="6" t="str">
        <f>"220720191202102510218550"</f>
        <v>220720191202102510218550</v>
      </c>
      <c r="C60" s="6" t="s">
        <v>11</v>
      </c>
      <c r="D60" s="6" t="str">
        <f>"林先浩"</f>
        <v>林先浩</v>
      </c>
      <c r="E60" s="6" t="str">
        <f t="shared" si="11"/>
        <v>男</v>
      </c>
      <c r="F60" s="6" t="str">
        <f t="shared" si="12"/>
        <v>汉族</v>
      </c>
      <c r="G60" s="6" t="str">
        <f t="shared" si="13"/>
        <v>群众</v>
      </c>
      <c r="H60" s="6" t="str">
        <f t="shared" si="6"/>
        <v>本科</v>
      </c>
      <c r="I60" s="6" t="str">
        <f>"土木工程"</f>
        <v>土木工程</v>
      </c>
    </row>
    <row r="61" s="2" customFormat="1" ht="20" customHeight="1" spans="1:9">
      <c r="A61" s="6">
        <v>59</v>
      </c>
      <c r="B61" s="6" t="str">
        <f>"220720191202113932218612"</f>
        <v>220720191202113932218612</v>
      </c>
      <c r="C61" s="6" t="s">
        <v>11</v>
      </c>
      <c r="D61" s="6" t="str">
        <f>"夏李云"</f>
        <v>夏李云</v>
      </c>
      <c r="E61" s="6" t="str">
        <f>"女"</f>
        <v>女</v>
      </c>
      <c r="F61" s="6" t="str">
        <f t="shared" si="12"/>
        <v>汉族</v>
      </c>
      <c r="G61" s="6" t="str">
        <f t="shared" si="13"/>
        <v>群众</v>
      </c>
      <c r="H61" s="6" t="str">
        <f t="shared" si="6"/>
        <v>本科</v>
      </c>
      <c r="I61" s="6" t="str">
        <f>"园林专业"</f>
        <v>园林专业</v>
      </c>
    </row>
    <row r="62" s="2" customFormat="1" ht="20" customHeight="1" spans="1:9">
      <c r="A62" s="6">
        <v>60</v>
      </c>
      <c r="B62" s="6" t="str">
        <f>"220720191202121901218629"</f>
        <v>220720191202121901218629</v>
      </c>
      <c r="C62" s="6" t="s">
        <v>11</v>
      </c>
      <c r="D62" s="6" t="str">
        <f>"周贞英"</f>
        <v>周贞英</v>
      </c>
      <c r="E62" s="6" t="str">
        <f>"男"</f>
        <v>男</v>
      </c>
      <c r="F62" s="6" t="str">
        <f t="shared" si="12"/>
        <v>汉族</v>
      </c>
      <c r="G62" s="6" t="str">
        <f>"中共党员"</f>
        <v>中共党员</v>
      </c>
      <c r="H62" s="6" t="str">
        <f>"研究生"</f>
        <v>研究生</v>
      </c>
      <c r="I62" s="6" t="str">
        <f>"市政工程"</f>
        <v>市政工程</v>
      </c>
    </row>
    <row r="63" s="2" customFormat="1" ht="20" customHeight="1" spans="1:9">
      <c r="A63" s="6">
        <v>61</v>
      </c>
      <c r="B63" s="6" t="str">
        <f>"220720191126090201212996"</f>
        <v>220720191126090201212996</v>
      </c>
      <c r="C63" s="6" t="s">
        <v>12</v>
      </c>
      <c r="D63" s="6" t="str">
        <f>"邓伟"</f>
        <v>邓伟</v>
      </c>
      <c r="E63" s="6" t="str">
        <f t="shared" ref="E63:E71" si="14">"女"</f>
        <v>女</v>
      </c>
      <c r="F63" s="6" t="str">
        <f t="shared" ref="F63:F69" si="15">"汉族"</f>
        <v>汉族</v>
      </c>
      <c r="G63" s="6" t="str">
        <f>"团员"</f>
        <v>团员</v>
      </c>
      <c r="H63" s="6" t="str">
        <f t="shared" ref="H63:H79" si="16">"本科"</f>
        <v>本科</v>
      </c>
      <c r="I63" s="6" t="str">
        <f>"统计学"</f>
        <v>统计学</v>
      </c>
    </row>
    <row r="64" s="2" customFormat="1" ht="20" customHeight="1" spans="1:9">
      <c r="A64" s="6">
        <v>62</v>
      </c>
      <c r="B64" s="6" t="str">
        <f>"220720191126090257213002"</f>
        <v>220720191126090257213002</v>
      </c>
      <c r="C64" s="6" t="s">
        <v>12</v>
      </c>
      <c r="D64" s="6" t="str">
        <f>"戴庞慕"</f>
        <v>戴庞慕</v>
      </c>
      <c r="E64" s="6" t="str">
        <f t="shared" si="14"/>
        <v>女</v>
      </c>
      <c r="F64" s="6" t="str">
        <f t="shared" si="15"/>
        <v>汉族</v>
      </c>
      <c r="G64" s="6" t="str">
        <f>"团员"</f>
        <v>团员</v>
      </c>
      <c r="H64" s="6" t="str">
        <f t="shared" si="16"/>
        <v>本科</v>
      </c>
      <c r="I64" s="6" t="str">
        <f>"金融学"</f>
        <v>金融学</v>
      </c>
    </row>
    <row r="65" s="2" customFormat="1" ht="20" customHeight="1" spans="1:9">
      <c r="A65" s="6">
        <v>63</v>
      </c>
      <c r="B65" s="6" t="str">
        <f>"220720191126090403213004"</f>
        <v>220720191126090403213004</v>
      </c>
      <c r="C65" s="6" t="s">
        <v>12</v>
      </c>
      <c r="D65" s="6" t="str">
        <f>"符华荣"</f>
        <v>符华荣</v>
      </c>
      <c r="E65" s="6" t="str">
        <f t="shared" si="14"/>
        <v>女</v>
      </c>
      <c r="F65" s="6" t="str">
        <f t="shared" si="15"/>
        <v>汉族</v>
      </c>
      <c r="G65" s="6" t="str">
        <f>"中共党员"</f>
        <v>中共党员</v>
      </c>
      <c r="H65" s="6" t="str">
        <f t="shared" si="16"/>
        <v>本科</v>
      </c>
      <c r="I65" s="6" t="str">
        <f>"统计学"</f>
        <v>统计学</v>
      </c>
    </row>
    <row r="66" s="2" customFormat="1" ht="20" customHeight="1" spans="1:9">
      <c r="A66" s="6">
        <v>64</v>
      </c>
      <c r="B66" s="6" t="str">
        <f>"220720191126090542213015"</f>
        <v>220720191126090542213015</v>
      </c>
      <c r="C66" s="6" t="s">
        <v>12</v>
      </c>
      <c r="D66" s="6" t="str">
        <f>"张深花"</f>
        <v>张深花</v>
      </c>
      <c r="E66" s="6" t="str">
        <f t="shared" si="14"/>
        <v>女</v>
      </c>
      <c r="F66" s="6" t="str">
        <f t="shared" si="15"/>
        <v>汉族</v>
      </c>
      <c r="G66" s="6" t="str">
        <f>"群众"</f>
        <v>群众</v>
      </c>
      <c r="H66" s="6" t="str">
        <f t="shared" si="16"/>
        <v>本科</v>
      </c>
      <c r="I66" s="6" t="str">
        <f>"国际经济与贸易"</f>
        <v>国际经济与贸易</v>
      </c>
    </row>
    <row r="67" s="2" customFormat="1" ht="20" customHeight="1" spans="1:9">
      <c r="A67" s="6">
        <v>65</v>
      </c>
      <c r="B67" s="6" t="str">
        <f>"220720191126090731213023"</f>
        <v>220720191126090731213023</v>
      </c>
      <c r="C67" s="6" t="s">
        <v>12</v>
      </c>
      <c r="D67" s="6" t="str">
        <f>"冯惠"</f>
        <v>冯惠</v>
      </c>
      <c r="E67" s="6" t="str">
        <f t="shared" si="14"/>
        <v>女</v>
      </c>
      <c r="F67" s="6" t="str">
        <f t="shared" si="15"/>
        <v>汉族</v>
      </c>
      <c r="G67" s="6" t="str">
        <f>"中共党员"</f>
        <v>中共党员</v>
      </c>
      <c r="H67" s="6" t="str">
        <f t="shared" si="16"/>
        <v>本科</v>
      </c>
      <c r="I67" s="6" t="str">
        <f>"统计学"</f>
        <v>统计学</v>
      </c>
    </row>
    <row r="68" s="2" customFormat="1" ht="20" customHeight="1" spans="1:9">
      <c r="A68" s="6">
        <v>66</v>
      </c>
      <c r="B68" s="6" t="str">
        <f>"220720191126090839213029"</f>
        <v>220720191126090839213029</v>
      </c>
      <c r="C68" s="6" t="s">
        <v>12</v>
      </c>
      <c r="D68" s="6" t="str">
        <f>"侯丽丹"</f>
        <v>侯丽丹</v>
      </c>
      <c r="E68" s="6" t="str">
        <f t="shared" si="14"/>
        <v>女</v>
      </c>
      <c r="F68" s="6" t="str">
        <f t="shared" si="15"/>
        <v>汉族</v>
      </c>
      <c r="G68" s="6" t="str">
        <f>"团员"</f>
        <v>团员</v>
      </c>
      <c r="H68" s="6" t="str">
        <f t="shared" si="16"/>
        <v>本科</v>
      </c>
      <c r="I68" s="6" t="str">
        <f>"经济学"</f>
        <v>经济学</v>
      </c>
    </row>
    <row r="69" s="2" customFormat="1" ht="20" customHeight="1" spans="1:9">
      <c r="A69" s="6">
        <v>67</v>
      </c>
      <c r="B69" s="6" t="str">
        <f>"220720191126092726213102"</f>
        <v>220720191126092726213102</v>
      </c>
      <c r="C69" s="6" t="s">
        <v>12</v>
      </c>
      <c r="D69" s="6" t="str">
        <f>"桂若琳"</f>
        <v>桂若琳</v>
      </c>
      <c r="E69" s="6" t="str">
        <f t="shared" si="14"/>
        <v>女</v>
      </c>
      <c r="F69" s="6" t="str">
        <f t="shared" si="15"/>
        <v>汉族</v>
      </c>
      <c r="G69" s="6" t="str">
        <f>"团员"</f>
        <v>团员</v>
      </c>
      <c r="H69" s="6" t="str">
        <f t="shared" si="16"/>
        <v>本科</v>
      </c>
      <c r="I69" s="6" t="str">
        <f>"贸易经济"</f>
        <v>贸易经济</v>
      </c>
    </row>
    <row r="70" s="2" customFormat="1" ht="20" customHeight="1" spans="1:9">
      <c r="A70" s="6">
        <v>68</v>
      </c>
      <c r="B70" s="6" t="str">
        <f>"220720191126094814213207"</f>
        <v>220720191126094814213207</v>
      </c>
      <c r="C70" s="6" t="s">
        <v>12</v>
      </c>
      <c r="D70" s="6" t="str">
        <f>"符小叶"</f>
        <v>符小叶</v>
      </c>
      <c r="E70" s="6" t="str">
        <f t="shared" si="14"/>
        <v>女</v>
      </c>
      <c r="F70" s="6" t="str">
        <f>"黎族"</f>
        <v>黎族</v>
      </c>
      <c r="G70" s="6" t="str">
        <f>"团员"</f>
        <v>团员</v>
      </c>
      <c r="H70" s="6" t="str">
        <f t="shared" si="16"/>
        <v>本科</v>
      </c>
      <c r="I70" s="6" t="str">
        <f>"数学与应用数学"</f>
        <v>数学与应用数学</v>
      </c>
    </row>
    <row r="71" s="2" customFormat="1" ht="20" customHeight="1" spans="1:9">
      <c r="A71" s="6">
        <v>69</v>
      </c>
      <c r="B71" s="6" t="str">
        <f>"220720191126094851213210"</f>
        <v>220720191126094851213210</v>
      </c>
      <c r="C71" s="6" t="s">
        <v>12</v>
      </c>
      <c r="D71" s="6" t="str">
        <f>"葛仙梅"</f>
        <v>葛仙梅</v>
      </c>
      <c r="E71" s="6" t="str">
        <f t="shared" si="14"/>
        <v>女</v>
      </c>
      <c r="F71" s="6" t="str">
        <f t="shared" ref="F71:F79" si="17">"汉族"</f>
        <v>汉族</v>
      </c>
      <c r="G71" s="6" t="str">
        <f>"中共党员"</f>
        <v>中共党员</v>
      </c>
      <c r="H71" s="6" t="str">
        <f t="shared" si="16"/>
        <v>本科</v>
      </c>
      <c r="I71" s="6" t="str">
        <f>"国际经济与贸易"</f>
        <v>国际经济与贸易</v>
      </c>
    </row>
    <row r="72" s="2" customFormat="1" ht="20" customHeight="1" spans="1:9">
      <c r="A72" s="6">
        <v>70</v>
      </c>
      <c r="B72" s="6" t="str">
        <f>"220720191126101253213311"</f>
        <v>220720191126101253213311</v>
      </c>
      <c r="C72" s="6" t="s">
        <v>12</v>
      </c>
      <c r="D72" s="6" t="str">
        <f>"雷磊"</f>
        <v>雷磊</v>
      </c>
      <c r="E72" s="6" t="str">
        <f>"男"</f>
        <v>男</v>
      </c>
      <c r="F72" s="6" t="str">
        <f t="shared" si="17"/>
        <v>汉族</v>
      </c>
      <c r="G72" s="6" t="str">
        <f>"群众"</f>
        <v>群众</v>
      </c>
      <c r="H72" s="6" t="str">
        <f t="shared" si="16"/>
        <v>本科</v>
      </c>
      <c r="I72" s="6" t="str">
        <f>"统计学"</f>
        <v>统计学</v>
      </c>
    </row>
    <row r="73" s="2" customFormat="1" ht="20" customHeight="1" spans="1:9">
      <c r="A73" s="6">
        <v>71</v>
      </c>
      <c r="B73" s="6" t="str">
        <f>"220720191126101932213333"</f>
        <v>220720191126101932213333</v>
      </c>
      <c r="C73" s="6" t="s">
        <v>12</v>
      </c>
      <c r="D73" s="6" t="str">
        <f>"赵诗菁"</f>
        <v>赵诗菁</v>
      </c>
      <c r="E73" s="6" t="str">
        <f>"女"</f>
        <v>女</v>
      </c>
      <c r="F73" s="6" t="str">
        <f t="shared" si="17"/>
        <v>汉族</v>
      </c>
      <c r="G73" s="6" t="str">
        <f>"群众"</f>
        <v>群众</v>
      </c>
      <c r="H73" s="6" t="str">
        <f t="shared" si="16"/>
        <v>本科</v>
      </c>
      <c r="I73" s="6" t="str">
        <f>"国际经济与贸易"</f>
        <v>国际经济与贸易</v>
      </c>
    </row>
    <row r="74" s="2" customFormat="1" ht="20" customHeight="1" spans="1:9">
      <c r="A74" s="6">
        <v>72</v>
      </c>
      <c r="B74" s="6" t="str">
        <f>"220720191126102134213341"</f>
        <v>220720191126102134213341</v>
      </c>
      <c r="C74" s="6" t="s">
        <v>12</v>
      </c>
      <c r="D74" s="6" t="str">
        <f>"王雪飞"</f>
        <v>王雪飞</v>
      </c>
      <c r="E74" s="6" t="str">
        <f>"女"</f>
        <v>女</v>
      </c>
      <c r="F74" s="6" t="str">
        <f t="shared" si="17"/>
        <v>汉族</v>
      </c>
      <c r="G74" s="6" t="str">
        <f>"中共党员"</f>
        <v>中共党员</v>
      </c>
      <c r="H74" s="6" t="str">
        <f t="shared" si="16"/>
        <v>本科</v>
      </c>
      <c r="I74" s="6" t="str">
        <f>"金融学"</f>
        <v>金融学</v>
      </c>
    </row>
    <row r="75" s="2" customFormat="1" ht="20" customHeight="1" spans="1:9">
      <c r="A75" s="6">
        <v>73</v>
      </c>
      <c r="B75" s="6" t="str">
        <f>"220720191126103758213403"</f>
        <v>220720191126103758213403</v>
      </c>
      <c r="C75" s="6" t="s">
        <v>12</v>
      </c>
      <c r="D75" s="6" t="str">
        <f>"吴炳坤"</f>
        <v>吴炳坤</v>
      </c>
      <c r="E75" s="6" t="str">
        <f>"男"</f>
        <v>男</v>
      </c>
      <c r="F75" s="6" t="str">
        <f t="shared" si="17"/>
        <v>汉族</v>
      </c>
      <c r="G75" s="6" t="str">
        <f>"团员"</f>
        <v>团员</v>
      </c>
      <c r="H75" s="6" t="str">
        <f t="shared" si="16"/>
        <v>本科</v>
      </c>
      <c r="I75" s="6" t="str">
        <f>"国际经济与贸易"</f>
        <v>国际经济与贸易</v>
      </c>
    </row>
    <row r="76" s="2" customFormat="1" ht="20" customHeight="1" spans="1:9">
      <c r="A76" s="6">
        <v>74</v>
      </c>
      <c r="B76" s="6" t="str">
        <f>"220720191126105101213445"</f>
        <v>220720191126105101213445</v>
      </c>
      <c r="C76" s="6" t="s">
        <v>12</v>
      </c>
      <c r="D76" s="6" t="str">
        <f>"林燕"</f>
        <v>林燕</v>
      </c>
      <c r="E76" s="6" t="str">
        <f>"女"</f>
        <v>女</v>
      </c>
      <c r="F76" s="6" t="str">
        <f t="shared" si="17"/>
        <v>汉族</v>
      </c>
      <c r="G76" s="6" t="str">
        <f>"群众"</f>
        <v>群众</v>
      </c>
      <c r="H76" s="6" t="str">
        <f t="shared" si="16"/>
        <v>本科</v>
      </c>
      <c r="I76" s="6" t="str">
        <f>"经济学"</f>
        <v>经济学</v>
      </c>
    </row>
    <row r="77" s="2" customFormat="1" ht="20" customHeight="1" spans="1:9">
      <c r="A77" s="6">
        <v>75</v>
      </c>
      <c r="B77" s="6" t="str">
        <f>"220720191126112326213547"</f>
        <v>220720191126112326213547</v>
      </c>
      <c r="C77" s="6" t="s">
        <v>12</v>
      </c>
      <c r="D77" s="6" t="str">
        <f>"王颖"</f>
        <v>王颖</v>
      </c>
      <c r="E77" s="6" t="str">
        <f>"女"</f>
        <v>女</v>
      </c>
      <c r="F77" s="6" t="str">
        <f t="shared" si="17"/>
        <v>汉族</v>
      </c>
      <c r="G77" s="6" t="str">
        <f>"团员"</f>
        <v>团员</v>
      </c>
      <c r="H77" s="6" t="str">
        <f t="shared" si="16"/>
        <v>本科</v>
      </c>
      <c r="I77" s="6" t="str">
        <f>"国际经济与贸易"</f>
        <v>国际经济与贸易</v>
      </c>
    </row>
    <row r="78" s="2" customFormat="1" ht="20" customHeight="1" spans="1:9">
      <c r="A78" s="6">
        <v>76</v>
      </c>
      <c r="B78" s="6" t="str">
        <f>"220720191126121730213685"</f>
        <v>220720191126121730213685</v>
      </c>
      <c r="C78" s="6" t="s">
        <v>12</v>
      </c>
      <c r="D78" s="6" t="str">
        <f>"周云玲"</f>
        <v>周云玲</v>
      </c>
      <c r="E78" s="6" t="str">
        <f>"女"</f>
        <v>女</v>
      </c>
      <c r="F78" s="6" t="str">
        <f t="shared" si="17"/>
        <v>汉族</v>
      </c>
      <c r="G78" s="6" t="str">
        <f>"团员"</f>
        <v>团员</v>
      </c>
      <c r="H78" s="6" t="str">
        <f t="shared" si="16"/>
        <v>本科</v>
      </c>
      <c r="I78" s="6" t="str">
        <f>"国际经济与贸易"</f>
        <v>国际经济与贸易</v>
      </c>
    </row>
    <row r="79" s="2" customFormat="1" ht="20" customHeight="1" spans="1:9">
      <c r="A79" s="6">
        <v>77</v>
      </c>
      <c r="B79" s="6" t="str">
        <f>"220720191126123002213716"</f>
        <v>220720191126123002213716</v>
      </c>
      <c r="C79" s="6" t="s">
        <v>12</v>
      </c>
      <c r="D79" s="6" t="str">
        <f>"文郁清"</f>
        <v>文郁清</v>
      </c>
      <c r="E79" s="6" t="str">
        <f>"女"</f>
        <v>女</v>
      </c>
      <c r="F79" s="6" t="str">
        <f t="shared" si="17"/>
        <v>汉族</v>
      </c>
      <c r="G79" s="6" t="str">
        <f>"群众"</f>
        <v>群众</v>
      </c>
      <c r="H79" s="6" t="str">
        <f t="shared" si="16"/>
        <v>本科</v>
      </c>
      <c r="I79" s="6" t="str">
        <f>"国际经济与贸易"</f>
        <v>国际经济与贸易</v>
      </c>
    </row>
    <row r="80" s="2" customFormat="1" ht="20" customHeight="1" spans="1:9">
      <c r="A80" s="6">
        <v>78</v>
      </c>
      <c r="B80" s="6" t="str">
        <f>"220720191126125049213765"</f>
        <v>220720191126125049213765</v>
      </c>
      <c r="C80" s="6" t="s">
        <v>12</v>
      </c>
      <c r="D80" s="6" t="str">
        <f>"盘永楠"</f>
        <v>盘永楠</v>
      </c>
      <c r="E80" s="6" t="str">
        <f>"女"</f>
        <v>女</v>
      </c>
      <c r="F80" s="6" t="str">
        <f>"瑶族"</f>
        <v>瑶族</v>
      </c>
      <c r="G80" s="6" t="str">
        <f>"群众"</f>
        <v>群众</v>
      </c>
      <c r="H80" s="6" t="str">
        <f>"研究生"</f>
        <v>研究生</v>
      </c>
      <c r="I80" s="6" t="str">
        <f>"中外政治制度"</f>
        <v>中外政治制度</v>
      </c>
    </row>
    <row r="81" s="2" customFormat="1" ht="20" customHeight="1" spans="1:9">
      <c r="A81" s="6">
        <v>79</v>
      </c>
      <c r="B81" s="6" t="str">
        <f>"220720191126130403213801"</f>
        <v>220720191126130403213801</v>
      </c>
      <c r="C81" s="6" t="s">
        <v>12</v>
      </c>
      <c r="D81" s="6" t="str">
        <f>"崔传招"</f>
        <v>崔传招</v>
      </c>
      <c r="E81" s="6" t="str">
        <f>"男"</f>
        <v>男</v>
      </c>
      <c r="F81" s="6" t="str">
        <f>"汉族"</f>
        <v>汉族</v>
      </c>
      <c r="G81" s="6" t="str">
        <f>"群众"</f>
        <v>群众</v>
      </c>
      <c r="H81" s="6" t="str">
        <f t="shared" ref="H81:H144" si="18">"本科"</f>
        <v>本科</v>
      </c>
      <c r="I81" s="6" t="str">
        <f>"国际经济与贸易"</f>
        <v>国际经济与贸易</v>
      </c>
    </row>
    <row r="82" s="2" customFormat="1" ht="20" customHeight="1" spans="1:9">
      <c r="A82" s="6">
        <v>80</v>
      </c>
      <c r="B82" s="6" t="str">
        <f>"220720191126153036214075"</f>
        <v>220720191126153036214075</v>
      </c>
      <c r="C82" s="6" t="s">
        <v>12</v>
      </c>
      <c r="D82" s="6" t="str">
        <f>"刘燕红"</f>
        <v>刘燕红</v>
      </c>
      <c r="E82" s="6" t="str">
        <f>"女"</f>
        <v>女</v>
      </c>
      <c r="F82" s="6" t="str">
        <f>"汉族"</f>
        <v>汉族</v>
      </c>
      <c r="G82" s="6" t="str">
        <f>"中共党员"</f>
        <v>中共党员</v>
      </c>
      <c r="H82" s="6" t="str">
        <f t="shared" si="18"/>
        <v>本科</v>
      </c>
      <c r="I82" s="6" t="str">
        <f>"国际经济与贸易"</f>
        <v>国际经济与贸易</v>
      </c>
    </row>
    <row r="83" s="2" customFormat="1" ht="20" customHeight="1" spans="1:9">
      <c r="A83" s="6">
        <v>81</v>
      </c>
      <c r="B83" s="6" t="str">
        <f>"220720191126155442214140"</f>
        <v>220720191126155442214140</v>
      </c>
      <c r="C83" s="6" t="s">
        <v>12</v>
      </c>
      <c r="D83" s="6" t="str">
        <f>"吴子建"</f>
        <v>吴子建</v>
      </c>
      <c r="E83" s="6" t="str">
        <f>"女"</f>
        <v>女</v>
      </c>
      <c r="F83" s="6" t="str">
        <f>"汉族"</f>
        <v>汉族</v>
      </c>
      <c r="G83" s="6" t="str">
        <f>"中共党员"</f>
        <v>中共党员</v>
      </c>
      <c r="H83" s="6" t="str">
        <f t="shared" si="18"/>
        <v>本科</v>
      </c>
      <c r="I83" s="6" t="str">
        <f>"统计学"</f>
        <v>统计学</v>
      </c>
    </row>
    <row r="84" s="2" customFormat="1" ht="20" customHeight="1" spans="1:9">
      <c r="A84" s="6">
        <v>82</v>
      </c>
      <c r="B84" s="6" t="str">
        <f>"220720191126161536214178"</f>
        <v>220720191126161536214178</v>
      </c>
      <c r="C84" s="6" t="s">
        <v>12</v>
      </c>
      <c r="D84" s="6" t="str">
        <f>"林芸妃"</f>
        <v>林芸妃</v>
      </c>
      <c r="E84" s="6" t="str">
        <f>"女"</f>
        <v>女</v>
      </c>
      <c r="F84" s="6" t="str">
        <f>"黎族"</f>
        <v>黎族</v>
      </c>
      <c r="G84" s="6" t="str">
        <f>"群众"</f>
        <v>群众</v>
      </c>
      <c r="H84" s="6" t="str">
        <f t="shared" si="18"/>
        <v>本科</v>
      </c>
      <c r="I84" s="6" t="str">
        <f>"经济学"</f>
        <v>经济学</v>
      </c>
    </row>
    <row r="85" s="2" customFormat="1" ht="20" customHeight="1" spans="1:9">
      <c r="A85" s="6">
        <v>83</v>
      </c>
      <c r="B85" s="6" t="str">
        <f>"220720191126170429214312"</f>
        <v>220720191126170429214312</v>
      </c>
      <c r="C85" s="6" t="s">
        <v>12</v>
      </c>
      <c r="D85" s="6" t="str">
        <f>"符小惠"</f>
        <v>符小惠</v>
      </c>
      <c r="E85" s="6" t="str">
        <f>"女"</f>
        <v>女</v>
      </c>
      <c r="F85" s="6" t="str">
        <f t="shared" ref="F85:F94" si="19">"汉族"</f>
        <v>汉族</v>
      </c>
      <c r="G85" s="6" t="str">
        <f>"群众"</f>
        <v>群众</v>
      </c>
      <c r="H85" s="6" t="str">
        <f t="shared" si="18"/>
        <v>本科</v>
      </c>
      <c r="I85" s="6" t="str">
        <f>"经济学"</f>
        <v>经济学</v>
      </c>
    </row>
    <row r="86" s="2" customFormat="1" ht="20" customHeight="1" spans="1:9">
      <c r="A86" s="6">
        <v>84</v>
      </c>
      <c r="B86" s="6" t="str">
        <f>"220720191126182001214454"</f>
        <v>220720191126182001214454</v>
      </c>
      <c r="C86" s="6" t="s">
        <v>12</v>
      </c>
      <c r="D86" s="6" t="str">
        <f>"欧方林"</f>
        <v>欧方林</v>
      </c>
      <c r="E86" s="6" t="str">
        <f>"男"</f>
        <v>男</v>
      </c>
      <c r="F86" s="6" t="str">
        <f t="shared" si="19"/>
        <v>汉族</v>
      </c>
      <c r="G86" s="6" t="str">
        <f>"团员"</f>
        <v>团员</v>
      </c>
      <c r="H86" s="6" t="str">
        <f t="shared" si="18"/>
        <v>本科</v>
      </c>
      <c r="I86" s="6" t="str">
        <f>"经济学（国际金融方向）"</f>
        <v>经济学（国际金融方向）</v>
      </c>
    </row>
    <row r="87" s="2" customFormat="1" ht="20" customHeight="1" spans="1:9">
      <c r="A87" s="6">
        <v>85</v>
      </c>
      <c r="B87" s="6" t="str">
        <f>"220720191126212413214768"</f>
        <v>220720191126212413214768</v>
      </c>
      <c r="C87" s="6" t="s">
        <v>12</v>
      </c>
      <c r="D87" s="6" t="str">
        <f>"廖小梅"</f>
        <v>廖小梅</v>
      </c>
      <c r="E87" s="6" t="str">
        <f>"女"</f>
        <v>女</v>
      </c>
      <c r="F87" s="6" t="str">
        <f t="shared" si="19"/>
        <v>汉族</v>
      </c>
      <c r="G87" s="6" t="str">
        <f>"群众"</f>
        <v>群众</v>
      </c>
      <c r="H87" s="6" t="str">
        <f t="shared" si="18"/>
        <v>本科</v>
      </c>
      <c r="I87" s="6" t="str">
        <f>"国际经济与贸易专业"</f>
        <v>国际经济与贸易专业</v>
      </c>
    </row>
    <row r="88" s="2" customFormat="1" ht="20" customHeight="1" spans="1:9">
      <c r="A88" s="6">
        <v>86</v>
      </c>
      <c r="B88" s="6" t="str">
        <f>"220720191126220907214842"</f>
        <v>220720191126220907214842</v>
      </c>
      <c r="C88" s="6" t="s">
        <v>12</v>
      </c>
      <c r="D88" s="6" t="str">
        <f>"黄乐昌"</f>
        <v>黄乐昌</v>
      </c>
      <c r="E88" s="6" t="str">
        <f>"男"</f>
        <v>男</v>
      </c>
      <c r="F88" s="6" t="str">
        <f t="shared" si="19"/>
        <v>汉族</v>
      </c>
      <c r="G88" s="6" t="str">
        <f>"中共党员"</f>
        <v>中共党员</v>
      </c>
      <c r="H88" s="6" t="str">
        <f t="shared" si="18"/>
        <v>本科</v>
      </c>
      <c r="I88" s="6" t="str">
        <f>"国际经济与贸易"</f>
        <v>国际经济与贸易</v>
      </c>
    </row>
    <row r="89" s="2" customFormat="1" ht="20" customHeight="1" spans="1:9">
      <c r="A89" s="6">
        <v>87</v>
      </c>
      <c r="B89" s="6" t="str">
        <f>"220720191127005213214964"</f>
        <v>220720191127005213214964</v>
      </c>
      <c r="C89" s="6" t="s">
        <v>12</v>
      </c>
      <c r="D89" s="6" t="str">
        <f>"郑雄月"</f>
        <v>郑雄月</v>
      </c>
      <c r="E89" s="6" t="str">
        <f t="shared" ref="E89:E95" si="20">"女"</f>
        <v>女</v>
      </c>
      <c r="F89" s="6" t="str">
        <f t="shared" si="19"/>
        <v>汉族</v>
      </c>
      <c r="G89" s="6" t="str">
        <f>"团员"</f>
        <v>团员</v>
      </c>
      <c r="H89" s="6" t="str">
        <f t="shared" si="18"/>
        <v>本科</v>
      </c>
      <c r="I89" s="6" t="str">
        <f>"国际经济与贸易"</f>
        <v>国际经济与贸易</v>
      </c>
    </row>
    <row r="90" s="2" customFormat="1" ht="20" customHeight="1" spans="1:9">
      <c r="A90" s="6">
        <v>88</v>
      </c>
      <c r="B90" s="6" t="str">
        <f>"220720191127090802215075"</f>
        <v>220720191127090802215075</v>
      </c>
      <c r="C90" s="6" t="s">
        <v>12</v>
      </c>
      <c r="D90" s="6" t="str">
        <f>"史一晶"</f>
        <v>史一晶</v>
      </c>
      <c r="E90" s="6" t="str">
        <f t="shared" si="20"/>
        <v>女</v>
      </c>
      <c r="F90" s="6" t="str">
        <f t="shared" si="19"/>
        <v>汉族</v>
      </c>
      <c r="G90" s="6" t="str">
        <f>"中共党员"</f>
        <v>中共党员</v>
      </c>
      <c r="H90" s="6" t="str">
        <f t="shared" si="18"/>
        <v>本科</v>
      </c>
      <c r="I90" s="6" t="str">
        <f>"统计学"</f>
        <v>统计学</v>
      </c>
    </row>
    <row r="91" s="2" customFormat="1" ht="20" customHeight="1" spans="1:9">
      <c r="A91" s="6">
        <v>89</v>
      </c>
      <c r="B91" s="6" t="str">
        <f>"220720191127092111215092"</f>
        <v>220720191127092111215092</v>
      </c>
      <c r="C91" s="6" t="s">
        <v>12</v>
      </c>
      <c r="D91" s="6" t="str">
        <f>"姚春艳"</f>
        <v>姚春艳</v>
      </c>
      <c r="E91" s="6" t="str">
        <f t="shared" si="20"/>
        <v>女</v>
      </c>
      <c r="F91" s="6" t="str">
        <f t="shared" si="19"/>
        <v>汉族</v>
      </c>
      <c r="G91" s="6" t="str">
        <f t="shared" ref="G91:G96" si="21">"群众"</f>
        <v>群众</v>
      </c>
      <c r="H91" s="6" t="str">
        <f t="shared" si="18"/>
        <v>本科</v>
      </c>
      <c r="I91" s="6" t="str">
        <f>"经济学"</f>
        <v>经济学</v>
      </c>
    </row>
    <row r="92" s="2" customFormat="1" ht="20" customHeight="1" spans="1:9">
      <c r="A92" s="6">
        <v>90</v>
      </c>
      <c r="B92" s="6" t="str">
        <f>"220720191127144612215560"</f>
        <v>220720191127144612215560</v>
      </c>
      <c r="C92" s="6" t="s">
        <v>12</v>
      </c>
      <c r="D92" s="6" t="str">
        <f>"何巧思"</f>
        <v>何巧思</v>
      </c>
      <c r="E92" s="6" t="str">
        <f t="shared" si="20"/>
        <v>女</v>
      </c>
      <c r="F92" s="6" t="str">
        <f t="shared" si="19"/>
        <v>汉族</v>
      </c>
      <c r="G92" s="6" t="str">
        <f t="shared" si="21"/>
        <v>群众</v>
      </c>
      <c r="H92" s="6" t="str">
        <f t="shared" si="18"/>
        <v>本科</v>
      </c>
      <c r="I92" s="6" t="str">
        <f>"经济学（国际金融方向）"</f>
        <v>经济学（国际金融方向）</v>
      </c>
    </row>
    <row r="93" s="2" customFormat="1" ht="20" customHeight="1" spans="1:9">
      <c r="A93" s="6">
        <v>91</v>
      </c>
      <c r="B93" s="6" t="str">
        <f>"220720191127150621215595"</f>
        <v>220720191127150621215595</v>
      </c>
      <c r="C93" s="6" t="s">
        <v>12</v>
      </c>
      <c r="D93" s="6" t="str">
        <f>"王琪"</f>
        <v>王琪</v>
      </c>
      <c r="E93" s="6" t="str">
        <f t="shared" si="20"/>
        <v>女</v>
      </c>
      <c r="F93" s="6" t="str">
        <f t="shared" si="19"/>
        <v>汉族</v>
      </c>
      <c r="G93" s="6" t="str">
        <f t="shared" si="21"/>
        <v>群众</v>
      </c>
      <c r="H93" s="6" t="str">
        <f t="shared" si="18"/>
        <v>本科</v>
      </c>
      <c r="I93" s="6" t="str">
        <f>"经济统计学"</f>
        <v>经济统计学</v>
      </c>
    </row>
    <row r="94" s="2" customFormat="1" ht="20" customHeight="1" spans="1:9">
      <c r="A94" s="6">
        <v>92</v>
      </c>
      <c r="B94" s="6" t="str">
        <f>"220720191127163412215746"</f>
        <v>220720191127163412215746</v>
      </c>
      <c r="C94" s="6" t="s">
        <v>12</v>
      </c>
      <c r="D94" s="6" t="str">
        <f>"张峥"</f>
        <v>张峥</v>
      </c>
      <c r="E94" s="6" t="str">
        <f t="shared" si="20"/>
        <v>女</v>
      </c>
      <c r="F94" s="6" t="str">
        <f t="shared" si="19"/>
        <v>汉族</v>
      </c>
      <c r="G94" s="6" t="str">
        <f t="shared" si="21"/>
        <v>群众</v>
      </c>
      <c r="H94" s="6" t="str">
        <f t="shared" si="18"/>
        <v>本科</v>
      </c>
      <c r="I94" s="6" t="str">
        <f>"国际经济与贸易"</f>
        <v>国际经济与贸易</v>
      </c>
    </row>
    <row r="95" s="2" customFormat="1" ht="20" customHeight="1" spans="1:9">
      <c r="A95" s="6">
        <v>93</v>
      </c>
      <c r="B95" s="6" t="str">
        <f>"220720191127210515216099"</f>
        <v>220720191127210515216099</v>
      </c>
      <c r="C95" s="6" t="s">
        <v>12</v>
      </c>
      <c r="D95" s="6" t="str">
        <f>"林秀衍"</f>
        <v>林秀衍</v>
      </c>
      <c r="E95" s="6" t="str">
        <f t="shared" si="20"/>
        <v>女</v>
      </c>
      <c r="F95" s="6" t="str">
        <f t="shared" ref="F95:F104" si="22">"汉族"</f>
        <v>汉族</v>
      </c>
      <c r="G95" s="6" t="str">
        <f t="shared" si="21"/>
        <v>群众</v>
      </c>
      <c r="H95" s="6" t="str">
        <f t="shared" si="18"/>
        <v>本科</v>
      </c>
      <c r="I95" s="6" t="str">
        <f>"经济学"</f>
        <v>经济学</v>
      </c>
    </row>
    <row r="96" s="2" customFormat="1" ht="20" customHeight="1" spans="1:9">
      <c r="A96" s="6">
        <v>94</v>
      </c>
      <c r="B96" s="6" t="str">
        <f>"220720191127211324216108"</f>
        <v>220720191127211324216108</v>
      </c>
      <c r="C96" s="6" t="s">
        <v>12</v>
      </c>
      <c r="D96" s="6" t="str">
        <f>"殷礼报"</f>
        <v>殷礼报</v>
      </c>
      <c r="E96" s="6" t="str">
        <f>"男"</f>
        <v>男</v>
      </c>
      <c r="F96" s="6" t="str">
        <f t="shared" si="22"/>
        <v>汉族</v>
      </c>
      <c r="G96" s="6" t="str">
        <f t="shared" si="21"/>
        <v>群众</v>
      </c>
      <c r="H96" s="6" t="str">
        <f t="shared" si="18"/>
        <v>本科</v>
      </c>
      <c r="I96" s="6" t="str">
        <f>"统计学"</f>
        <v>统计学</v>
      </c>
    </row>
    <row r="97" s="2" customFormat="1" ht="20" customHeight="1" spans="1:9">
      <c r="A97" s="6">
        <v>95</v>
      </c>
      <c r="B97" s="6" t="str">
        <f>"220720191127211708216117"</f>
        <v>220720191127211708216117</v>
      </c>
      <c r="C97" s="6" t="s">
        <v>12</v>
      </c>
      <c r="D97" s="6" t="str">
        <f>"邢腾今"</f>
        <v>邢腾今</v>
      </c>
      <c r="E97" s="6" t="str">
        <f>"女"</f>
        <v>女</v>
      </c>
      <c r="F97" s="6" t="str">
        <f t="shared" si="22"/>
        <v>汉族</v>
      </c>
      <c r="G97" s="6" t="str">
        <f>"中共党员"</f>
        <v>中共党员</v>
      </c>
      <c r="H97" s="6" t="str">
        <f t="shared" si="18"/>
        <v>本科</v>
      </c>
      <c r="I97" s="6" t="str">
        <f>"国民经济管理"</f>
        <v>国民经济管理</v>
      </c>
    </row>
    <row r="98" s="2" customFormat="1" ht="20" customHeight="1" spans="1:9">
      <c r="A98" s="6">
        <v>96</v>
      </c>
      <c r="B98" s="6" t="str">
        <f>"220720191128101401216451"</f>
        <v>220720191128101401216451</v>
      </c>
      <c r="C98" s="6" t="s">
        <v>12</v>
      </c>
      <c r="D98" s="6" t="str">
        <f>"何长俊"</f>
        <v>何长俊</v>
      </c>
      <c r="E98" s="6" t="str">
        <f>"男"</f>
        <v>男</v>
      </c>
      <c r="F98" s="6" t="str">
        <f t="shared" si="22"/>
        <v>汉族</v>
      </c>
      <c r="G98" s="6" t="str">
        <f>"群众"</f>
        <v>群众</v>
      </c>
      <c r="H98" s="6" t="str">
        <f t="shared" si="18"/>
        <v>本科</v>
      </c>
      <c r="I98" s="6" t="str">
        <f>"统计学"</f>
        <v>统计学</v>
      </c>
    </row>
    <row r="99" s="2" customFormat="1" ht="20" customHeight="1" spans="1:9">
      <c r="A99" s="6">
        <v>97</v>
      </c>
      <c r="B99" s="6" t="str">
        <f>"220720191128114136216571"</f>
        <v>220720191128114136216571</v>
      </c>
      <c r="C99" s="6" t="s">
        <v>12</v>
      </c>
      <c r="D99" s="6" t="str">
        <f>"蔡锐"</f>
        <v>蔡锐</v>
      </c>
      <c r="E99" s="6" t="str">
        <f>"男"</f>
        <v>男</v>
      </c>
      <c r="F99" s="6" t="str">
        <f t="shared" si="22"/>
        <v>汉族</v>
      </c>
      <c r="G99" s="6" t="str">
        <f>"团员"</f>
        <v>团员</v>
      </c>
      <c r="H99" s="6" t="str">
        <f t="shared" si="18"/>
        <v>本科</v>
      </c>
      <c r="I99" s="6" t="str">
        <f>"统计学"</f>
        <v>统计学</v>
      </c>
    </row>
    <row r="100" s="2" customFormat="1" ht="20" customHeight="1" spans="1:9">
      <c r="A100" s="6">
        <v>98</v>
      </c>
      <c r="B100" s="6" t="str">
        <f>"220720191128153157216864"</f>
        <v>220720191128153157216864</v>
      </c>
      <c r="C100" s="6" t="s">
        <v>12</v>
      </c>
      <c r="D100" s="6" t="str">
        <f>"蔡舒萍"</f>
        <v>蔡舒萍</v>
      </c>
      <c r="E100" s="6" t="str">
        <f>"女"</f>
        <v>女</v>
      </c>
      <c r="F100" s="6" t="str">
        <f t="shared" si="22"/>
        <v>汉族</v>
      </c>
      <c r="G100" s="6" t="str">
        <f>"团员"</f>
        <v>团员</v>
      </c>
      <c r="H100" s="6" t="str">
        <f t="shared" si="18"/>
        <v>本科</v>
      </c>
      <c r="I100" s="6" t="str">
        <f>"6304统计学"</f>
        <v>6304统计学</v>
      </c>
    </row>
    <row r="101" s="2" customFormat="1" ht="20" customHeight="1" spans="1:9">
      <c r="A101" s="6">
        <v>99</v>
      </c>
      <c r="B101" s="6" t="str">
        <f>"220720191128182050217061"</f>
        <v>220720191128182050217061</v>
      </c>
      <c r="C101" s="6" t="s">
        <v>12</v>
      </c>
      <c r="D101" s="6" t="str">
        <f>"陈菲"</f>
        <v>陈菲</v>
      </c>
      <c r="E101" s="6" t="str">
        <f>"女"</f>
        <v>女</v>
      </c>
      <c r="F101" s="6" t="str">
        <f t="shared" si="22"/>
        <v>汉族</v>
      </c>
      <c r="G101" s="6" t="str">
        <f>"中共党员"</f>
        <v>中共党员</v>
      </c>
      <c r="H101" s="6" t="str">
        <f t="shared" si="18"/>
        <v>本科</v>
      </c>
      <c r="I101" s="6" t="str">
        <f>"国际经济与贸易"</f>
        <v>国际经济与贸易</v>
      </c>
    </row>
    <row r="102" s="2" customFormat="1" ht="20" customHeight="1" spans="1:9">
      <c r="A102" s="6">
        <v>100</v>
      </c>
      <c r="B102" s="6" t="str">
        <f>"220720191128221337217233"</f>
        <v>220720191128221337217233</v>
      </c>
      <c r="C102" s="6" t="s">
        <v>12</v>
      </c>
      <c r="D102" s="6" t="str">
        <f>"谢柏怡"</f>
        <v>谢柏怡</v>
      </c>
      <c r="E102" s="6" t="str">
        <f>"女"</f>
        <v>女</v>
      </c>
      <c r="F102" s="6" t="str">
        <f t="shared" si="22"/>
        <v>汉族</v>
      </c>
      <c r="G102" s="6" t="str">
        <f>"团员"</f>
        <v>团员</v>
      </c>
      <c r="H102" s="6" t="str">
        <f t="shared" si="18"/>
        <v>本科</v>
      </c>
      <c r="I102" s="6" t="str">
        <f>"经济统计学（精算与风险管理）"</f>
        <v>经济统计学（精算与风险管理）</v>
      </c>
    </row>
    <row r="103" s="2" customFormat="1" ht="20" customHeight="1" spans="1:9">
      <c r="A103" s="6">
        <v>101</v>
      </c>
      <c r="B103" s="6" t="str">
        <f>"220720191129100021217387"</f>
        <v>220720191129100021217387</v>
      </c>
      <c r="C103" s="6" t="s">
        <v>12</v>
      </c>
      <c r="D103" s="6" t="str">
        <f>"陈湘湘"</f>
        <v>陈湘湘</v>
      </c>
      <c r="E103" s="6" t="str">
        <f>"女"</f>
        <v>女</v>
      </c>
      <c r="F103" s="6" t="str">
        <f t="shared" si="22"/>
        <v>汉族</v>
      </c>
      <c r="G103" s="6" t="str">
        <f>"群众"</f>
        <v>群众</v>
      </c>
      <c r="H103" s="6" t="str">
        <f t="shared" si="18"/>
        <v>本科</v>
      </c>
      <c r="I103" s="6" t="str">
        <f>"财政学x"</f>
        <v>财政学x</v>
      </c>
    </row>
    <row r="104" s="2" customFormat="1" ht="20" customHeight="1" spans="1:9">
      <c r="A104" s="6">
        <v>102</v>
      </c>
      <c r="B104" s="6" t="str">
        <f>"220720191129112241217456"</f>
        <v>220720191129112241217456</v>
      </c>
      <c r="C104" s="6" t="s">
        <v>12</v>
      </c>
      <c r="D104" s="6" t="str">
        <f>"张琛"</f>
        <v>张琛</v>
      </c>
      <c r="E104" s="6" t="str">
        <f>"男"</f>
        <v>男</v>
      </c>
      <c r="F104" s="6" t="str">
        <f t="shared" si="22"/>
        <v>汉族</v>
      </c>
      <c r="G104" s="6" t="str">
        <f>"群众"</f>
        <v>群众</v>
      </c>
      <c r="H104" s="6" t="str">
        <f t="shared" si="18"/>
        <v>本科</v>
      </c>
      <c r="I104" s="6" t="str">
        <f>"经济学"</f>
        <v>经济学</v>
      </c>
    </row>
    <row r="105" s="2" customFormat="1" ht="20" customHeight="1" spans="1:9">
      <c r="A105" s="6">
        <v>103</v>
      </c>
      <c r="B105" s="6" t="str">
        <f>"220720191129113701214343"</f>
        <v>220720191129113701214343</v>
      </c>
      <c r="C105" s="6" t="s">
        <v>12</v>
      </c>
      <c r="D105" s="6" t="str">
        <f>"陈晓怡"</f>
        <v>陈晓怡</v>
      </c>
      <c r="E105" s="6" t="str">
        <f>"女"</f>
        <v>女</v>
      </c>
      <c r="F105" s="6" t="str">
        <f t="shared" ref="F105:F117" si="23">"汉族"</f>
        <v>汉族</v>
      </c>
      <c r="G105" s="6" t="str">
        <f>"团员"</f>
        <v>团员</v>
      </c>
      <c r="H105" s="6" t="str">
        <f t="shared" si="18"/>
        <v>本科</v>
      </c>
      <c r="I105" s="6" t="str">
        <f>"经济学专业"</f>
        <v>经济学专业</v>
      </c>
    </row>
    <row r="106" s="2" customFormat="1" ht="20" customHeight="1" spans="1:9">
      <c r="A106" s="6">
        <v>104</v>
      </c>
      <c r="B106" s="6" t="str">
        <f>"220720191129121109217493"</f>
        <v>220720191129121109217493</v>
      </c>
      <c r="C106" s="6" t="s">
        <v>12</v>
      </c>
      <c r="D106" s="6" t="str">
        <f>"林明绅"</f>
        <v>林明绅</v>
      </c>
      <c r="E106" s="6" t="str">
        <f>"男"</f>
        <v>男</v>
      </c>
      <c r="F106" s="6" t="str">
        <f t="shared" si="23"/>
        <v>汉族</v>
      </c>
      <c r="G106" s="6" t="str">
        <f>"群众"</f>
        <v>群众</v>
      </c>
      <c r="H106" s="6" t="str">
        <f t="shared" si="18"/>
        <v>本科</v>
      </c>
      <c r="I106" s="6" t="str">
        <f>"经济学"</f>
        <v>经济学</v>
      </c>
    </row>
    <row r="107" s="2" customFormat="1" ht="20" customHeight="1" spans="1:9">
      <c r="A107" s="6">
        <v>105</v>
      </c>
      <c r="B107" s="6" t="str">
        <f>"220720191129124922216256"</f>
        <v>220720191129124922216256</v>
      </c>
      <c r="C107" s="6" t="s">
        <v>12</v>
      </c>
      <c r="D107" s="6" t="str">
        <f>"朱杏"</f>
        <v>朱杏</v>
      </c>
      <c r="E107" s="6" t="str">
        <f>"女"</f>
        <v>女</v>
      </c>
      <c r="F107" s="6" t="str">
        <f t="shared" si="23"/>
        <v>汉族</v>
      </c>
      <c r="G107" s="6" t="str">
        <f>"中共党员"</f>
        <v>中共党员</v>
      </c>
      <c r="H107" s="6" t="str">
        <f t="shared" si="18"/>
        <v>本科</v>
      </c>
      <c r="I107" s="6" t="str">
        <f>"国际经济与贸易"</f>
        <v>国际经济与贸易</v>
      </c>
    </row>
    <row r="108" s="2" customFormat="1" ht="20" customHeight="1" spans="1:9">
      <c r="A108" s="6">
        <v>106</v>
      </c>
      <c r="B108" s="6" t="str">
        <f>"220720191129142750214998"</f>
        <v>220720191129142750214998</v>
      </c>
      <c r="C108" s="6" t="s">
        <v>12</v>
      </c>
      <c r="D108" s="6" t="str">
        <f>"魏学超"</f>
        <v>魏学超</v>
      </c>
      <c r="E108" s="6" t="str">
        <f>"男"</f>
        <v>男</v>
      </c>
      <c r="F108" s="6" t="str">
        <f t="shared" si="23"/>
        <v>汉族</v>
      </c>
      <c r="G108" s="6" t="str">
        <f>"群众"</f>
        <v>群众</v>
      </c>
      <c r="H108" s="6" t="str">
        <f t="shared" si="18"/>
        <v>本科</v>
      </c>
      <c r="I108" s="6" t="str">
        <f>"金融学"</f>
        <v>金融学</v>
      </c>
    </row>
    <row r="109" s="2" customFormat="1" ht="20" customHeight="1" spans="1:9">
      <c r="A109" s="6">
        <v>107</v>
      </c>
      <c r="B109" s="6" t="str">
        <f>"220720191129144456216972"</f>
        <v>220720191129144456216972</v>
      </c>
      <c r="C109" s="6" t="s">
        <v>12</v>
      </c>
      <c r="D109" s="6" t="str">
        <f>"符芳铖"</f>
        <v>符芳铖</v>
      </c>
      <c r="E109" s="6" t="str">
        <f>"男"</f>
        <v>男</v>
      </c>
      <c r="F109" s="6" t="str">
        <f t="shared" si="23"/>
        <v>汉族</v>
      </c>
      <c r="G109" s="6" t="str">
        <f>"群众"</f>
        <v>群众</v>
      </c>
      <c r="H109" s="6" t="str">
        <f t="shared" si="18"/>
        <v>本科</v>
      </c>
      <c r="I109" s="6" t="str">
        <f>"经济学"</f>
        <v>经济学</v>
      </c>
    </row>
    <row r="110" s="2" customFormat="1" ht="20" customHeight="1" spans="1:9">
      <c r="A110" s="6">
        <v>108</v>
      </c>
      <c r="B110" s="6" t="str">
        <f>"220720191129164455217173"</f>
        <v>220720191129164455217173</v>
      </c>
      <c r="C110" s="6" t="s">
        <v>12</v>
      </c>
      <c r="D110" s="6" t="str">
        <f>"黄肇伟"</f>
        <v>黄肇伟</v>
      </c>
      <c r="E110" s="6" t="str">
        <f>"男"</f>
        <v>男</v>
      </c>
      <c r="F110" s="6" t="str">
        <f t="shared" si="23"/>
        <v>汉族</v>
      </c>
      <c r="G110" s="6" t="str">
        <f>"中共党员"</f>
        <v>中共党员</v>
      </c>
      <c r="H110" s="6" t="str">
        <f t="shared" si="18"/>
        <v>本科</v>
      </c>
      <c r="I110" s="6" t="str">
        <f>"经济学"</f>
        <v>经济学</v>
      </c>
    </row>
    <row r="111" s="2" customFormat="1" ht="20" customHeight="1" spans="1:9">
      <c r="A111" s="6">
        <v>109</v>
      </c>
      <c r="B111" s="6" t="str">
        <f>"220720191129215323217835"</f>
        <v>220720191129215323217835</v>
      </c>
      <c r="C111" s="6" t="s">
        <v>12</v>
      </c>
      <c r="D111" s="6" t="str">
        <f>"陈美晔"</f>
        <v>陈美晔</v>
      </c>
      <c r="E111" s="6" t="str">
        <f>"女"</f>
        <v>女</v>
      </c>
      <c r="F111" s="6" t="str">
        <f t="shared" si="23"/>
        <v>汉族</v>
      </c>
      <c r="G111" s="6" t="str">
        <f>"群众"</f>
        <v>群众</v>
      </c>
      <c r="H111" s="6" t="str">
        <f t="shared" si="18"/>
        <v>本科</v>
      </c>
      <c r="I111" s="6" t="str">
        <f>"国际经济与贸易"</f>
        <v>国际经济与贸易</v>
      </c>
    </row>
    <row r="112" s="2" customFormat="1" ht="20" customHeight="1" spans="1:9">
      <c r="A112" s="6">
        <v>110</v>
      </c>
      <c r="B112" s="6" t="str">
        <f>"220720191129234038217884"</f>
        <v>220720191129234038217884</v>
      </c>
      <c r="C112" s="6" t="s">
        <v>12</v>
      </c>
      <c r="D112" s="6" t="str">
        <f>"秦崇君"</f>
        <v>秦崇君</v>
      </c>
      <c r="E112" s="6" t="str">
        <f>"女"</f>
        <v>女</v>
      </c>
      <c r="F112" s="6" t="str">
        <f t="shared" si="23"/>
        <v>汉族</v>
      </c>
      <c r="G112" s="6" t="str">
        <f>"群众"</f>
        <v>群众</v>
      </c>
      <c r="H112" s="6" t="str">
        <f t="shared" si="18"/>
        <v>本科</v>
      </c>
      <c r="I112" s="6" t="str">
        <f>"国际经济与贸易"</f>
        <v>国际经济与贸易</v>
      </c>
    </row>
    <row r="113" s="2" customFormat="1" ht="20" customHeight="1" spans="1:9">
      <c r="A113" s="6">
        <v>111</v>
      </c>
      <c r="B113" s="6" t="str">
        <f>"220720191129234210217885"</f>
        <v>220720191129234210217885</v>
      </c>
      <c r="C113" s="6" t="s">
        <v>12</v>
      </c>
      <c r="D113" s="6" t="str">
        <f>"高强"</f>
        <v>高强</v>
      </c>
      <c r="E113" s="6" t="str">
        <f>"男"</f>
        <v>男</v>
      </c>
      <c r="F113" s="6" t="str">
        <f t="shared" si="23"/>
        <v>汉族</v>
      </c>
      <c r="G113" s="6" t="str">
        <f>"中共党员"</f>
        <v>中共党员</v>
      </c>
      <c r="H113" s="6" t="str">
        <f t="shared" si="18"/>
        <v>本科</v>
      </c>
      <c r="I113" s="6" t="str">
        <f>"国际经济与贸易"</f>
        <v>国际经济与贸易</v>
      </c>
    </row>
    <row r="114" s="2" customFormat="1" ht="20" customHeight="1" spans="1:9">
      <c r="A114" s="6">
        <v>112</v>
      </c>
      <c r="B114" s="6" t="str">
        <f>"220720191130000331217888"</f>
        <v>220720191130000331217888</v>
      </c>
      <c r="C114" s="6" t="s">
        <v>12</v>
      </c>
      <c r="D114" s="6" t="str">
        <f>"王冰"</f>
        <v>王冰</v>
      </c>
      <c r="E114" s="6" t="str">
        <f>"女"</f>
        <v>女</v>
      </c>
      <c r="F114" s="6" t="str">
        <f t="shared" si="23"/>
        <v>汉族</v>
      </c>
      <c r="G114" s="6" t="str">
        <f>"群众"</f>
        <v>群众</v>
      </c>
      <c r="H114" s="6" t="str">
        <f t="shared" si="18"/>
        <v>本科</v>
      </c>
      <c r="I114" s="6" t="str">
        <f>"国际经济与贸易"</f>
        <v>国际经济与贸易</v>
      </c>
    </row>
    <row r="115" s="2" customFormat="1" ht="20" customHeight="1" spans="1:9">
      <c r="A115" s="6">
        <v>113</v>
      </c>
      <c r="B115" s="6" t="str">
        <f>"220720191130195034216233"</f>
        <v>220720191130195034216233</v>
      </c>
      <c r="C115" s="6" t="s">
        <v>12</v>
      </c>
      <c r="D115" s="6" t="str">
        <f>"陈景艳"</f>
        <v>陈景艳</v>
      </c>
      <c r="E115" s="6" t="str">
        <f>"女"</f>
        <v>女</v>
      </c>
      <c r="F115" s="6" t="str">
        <f t="shared" si="23"/>
        <v>汉族</v>
      </c>
      <c r="G115" s="6" t="str">
        <f>"团员"</f>
        <v>团员</v>
      </c>
      <c r="H115" s="6" t="str">
        <f t="shared" si="18"/>
        <v>本科</v>
      </c>
      <c r="I115" s="6" t="str">
        <f>"财政学"</f>
        <v>财政学</v>
      </c>
    </row>
    <row r="116" s="2" customFormat="1" ht="20" customHeight="1" spans="1:9">
      <c r="A116" s="6">
        <v>114</v>
      </c>
      <c r="B116" s="6" t="str">
        <f>"220720191130195742218234"</f>
        <v>220720191130195742218234</v>
      </c>
      <c r="C116" s="6" t="s">
        <v>12</v>
      </c>
      <c r="D116" s="6" t="str">
        <f>"王小婷"</f>
        <v>王小婷</v>
      </c>
      <c r="E116" s="6" t="str">
        <f>"女"</f>
        <v>女</v>
      </c>
      <c r="F116" s="6" t="str">
        <f t="shared" si="23"/>
        <v>汉族</v>
      </c>
      <c r="G116" s="6" t="str">
        <f>"团员"</f>
        <v>团员</v>
      </c>
      <c r="H116" s="6" t="str">
        <f t="shared" si="18"/>
        <v>本科</v>
      </c>
      <c r="I116" s="6" t="str">
        <f>"经济学"</f>
        <v>经济学</v>
      </c>
    </row>
    <row r="117" s="2" customFormat="1" ht="20" customHeight="1" spans="1:9">
      <c r="A117" s="6">
        <v>115</v>
      </c>
      <c r="B117" s="6" t="str">
        <f>"220720191201084925218273"</f>
        <v>220720191201084925218273</v>
      </c>
      <c r="C117" s="6" t="s">
        <v>12</v>
      </c>
      <c r="D117" s="6" t="str">
        <f>"吴丽丽"</f>
        <v>吴丽丽</v>
      </c>
      <c r="E117" s="6" t="str">
        <f>"女"</f>
        <v>女</v>
      </c>
      <c r="F117" s="6" t="str">
        <f t="shared" si="23"/>
        <v>汉族</v>
      </c>
      <c r="G117" s="6" t="str">
        <f>"团员"</f>
        <v>团员</v>
      </c>
      <c r="H117" s="6" t="str">
        <f t="shared" si="18"/>
        <v>本科</v>
      </c>
      <c r="I117" s="6" t="str">
        <f>"金融学"</f>
        <v>金融学</v>
      </c>
    </row>
    <row r="118" s="2" customFormat="1" ht="20" customHeight="1" spans="1:9">
      <c r="A118" s="6">
        <v>116</v>
      </c>
      <c r="B118" s="6" t="str">
        <f>"220720191201145459218331"</f>
        <v>220720191201145459218331</v>
      </c>
      <c r="C118" s="6" t="s">
        <v>12</v>
      </c>
      <c r="D118" s="6" t="str">
        <f>"尹春焱"</f>
        <v>尹春焱</v>
      </c>
      <c r="E118" s="6" t="str">
        <f>"女"</f>
        <v>女</v>
      </c>
      <c r="F118" s="6" t="str">
        <f>"黎族"</f>
        <v>黎族</v>
      </c>
      <c r="G118" s="6" t="str">
        <f>"群众"</f>
        <v>群众</v>
      </c>
      <c r="H118" s="6" t="str">
        <f t="shared" si="18"/>
        <v>本科</v>
      </c>
      <c r="I118" s="6" t="str">
        <f>"经济学"</f>
        <v>经济学</v>
      </c>
    </row>
    <row r="119" s="2" customFormat="1" ht="20" customHeight="1" spans="1:9">
      <c r="A119" s="6">
        <v>117</v>
      </c>
      <c r="B119" s="6" t="str">
        <f>"220720191201175657214750"</f>
        <v>220720191201175657214750</v>
      </c>
      <c r="C119" s="6" t="s">
        <v>12</v>
      </c>
      <c r="D119" s="6" t="str">
        <f>"蒲德赏"</f>
        <v>蒲德赏</v>
      </c>
      <c r="E119" s="6" t="str">
        <f>"男"</f>
        <v>男</v>
      </c>
      <c r="F119" s="6" t="str">
        <f>"汉族"</f>
        <v>汉族</v>
      </c>
      <c r="G119" s="6" t="str">
        <f>"群众"</f>
        <v>群众</v>
      </c>
      <c r="H119" s="6" t="str">
        <f t="shared" si="18"/>
        <v>本科</v>
      </c>
      <c r="I119" s="6" t="str">
        <f>"国际经济与贸易"</f>
        <v>国际经济与贸易</v>
      </c>
    </row>
    <row r="120" s="2" customFormat="1" ht="20" customHeight="1" spans="1:9">
      <c r="A120" s="6">
        <v>118</v>
      </c>
      <c r="B120" s="6" t="str">
        <f>"220720191201230741217170"</f>
        <v>220720191201230741217170</v>
      </c>
      <c r="C120" s="6" t="s">
        <v>12</v>
      </c>
      <c r="D120" s="6" t="str">
        <f>"陈兴鑫"</f>
        <v>陈兴鑫</v>
      </c>
      <c r="E120" s="6" t="str">
        <f>"男"</f>
        <v>男</v>
      </c>
      <c r="F120" s="6" t="str">
        <f>"汉族"</f>
        <v>汉族</v>
      </c>
      <c r="G120" s="6" t="str">
        <f>"团员"</f>
        <v>团员</v>
      </c>
      <c r="H120" s="6" t="str">
        <f t="shared" si="18"/>
        <v>本科</v>
      </c>
      <c r="I120" s="6" t="str">
        <f>"国际经济与贸易"</f>
        <v>国际经济与贸易</v>
      </c>
    </row>
    <row r="121" s="2" customFormat="1" ht="20" customHeight="1" spans="1:9">
      <c r="A121" s="6">
        <v>119</v>
      </c>
      <c r="B121" s="6" t="str">
        <f>"220720191202101813218547"</f>
        <v>220720191202101813218547</v>
      </c>
      <c r="C121" s="6" t="s">
        <v>12</v>
      </c>
      <c r="D121" s="6" t="str">
        <f>"林佳奕"</f>
        <v>林佳奕</v>
      </c>
      <c r="E121" s="6" t="str">
        <f>"女"</f>
        <v>女</v>
      </c>
      <c r="F121" s="6" t="str">
        <f>"汉族"</f>
        <v>汉族</v>
      </c>
      <c r="G121" s="6" t="str">
        <f>"群众"</f>
        <v>群众</v>
      </c>
      <c r="H121" s="6" t="str">
        <f t="shared" si="18"/>
        <v>本科</v>
      </c>
      <c r="I121" s="6" t="str">
        <f>"金融学"</f>
        <v>金融学</v>
      </c>
    </row>
    <row r="122" s="2" customFormat="1" ht="20" customHeight="1" spans="1:9">
      <c r="A122" s="6">
        <v>120</v>
      </c>
      <c r="B122" s="6" t="str">
        <f>"220720191202122803218635"</f>
        <v>220720191202122803218635</v>
      </c>
      <c r="C122" s="6" t="s">
        <v>12</v>
      </c>
      <c r="D122" s="6" t="str">
        <f>"吴诗信"</f>
        <v>吴诗信</v>
      </c>
      <c r="E122" s="6" t="str">
        <f>"男"</f>
        <v>男</v>
      </c>
      <c r="F122" s="6" t="str">
        <f>"汉族"</f>
        <v>汉族</v>
      </c>
      <c r="G122" s="6" t="str">
        <f>"中共党员"</f>
        <v>中共党员</v>
      </c>
      <c r="H122" s="6" t="str">
        <f t="shared" si="18"/>
        <v>本科</v>
      </c>
      <c r="I122" s="6" t="str">
        <f>"数学与应用数学"</f>
        <v>数学与应用数学</v>
      </c>
    </row>
    <row r="123" s="2" customFormat="1" ht="20" customHeight="1" spans="1:9">
      <c r="A123" s="6">
        <v>121</v>
      </c>
      <c r="B123" s="6" t="str">
        <f>"220720191202122946218636"</f>
        <v>220720191202122946218636</v>
      </c>
      <c r="C123" s="6" t="s">
        <v>12</v>
      </c>
      <c r="D123" s="6" t="str">
        <f>"郭静君"</f>
        <v>郭静君</v>
      </c>
      <c r="E123" s="6" t="str">
        <f>"女"</f>
        <v>女</v>
      </c>
      <c r="F123" s="6" t="str">
        <f>"汉族"</f>
        <v>汉族</v>
      </c>
      <c r="G123" s="6" t="str">
        <f>"团员"</f>
        <v>团员</v>
      </c>
      <c r="H123" s="6" t="str">
        <f t="shared" si="18"/>
        <v>本科</v>
      </c>
      <c r="I123" s="6" t="str">
        <f>"国际经济与贸易"</f>
        <v>国际经济与贸易</v>
      </c>
    </row>
    <row r="124" s="2" customFormat="1" ht="20" customHeight="1" spans="1:9">
      <c r="A124" s="6">
        <v>122</v>
      </c>
      <c r="B124" s="6" t="str">
        <f>"220720191202123946218641"</f>
        <v>220720191202123946218641</v>
      </c>
      <c r="C124" s="6" t="s">
        <v>12</v>
      </c>
      <c r="D124" s="6" t="str">
        <f>"邓章扬"</f>
        <v>邓章扬</v>
      </c>
      <c r="E124" s="6" t="str">
        <f>"男"</f>
        <v>男</v>
      </c>
      <c r="F124" s="6" t="str">
        <f>"黎族"</f>
        <v>黎族</v>
      </c>
      <c r="G124" s="6" t="str">
        <f>"群众"</f>
        <v>群众</v>
      </c>
      <c r="H124" s="6" t="str">
        <f t="shared" si="18"/>
        <v>本科</v>
      </c>
      <c r="I124" s="6" t="str">
        <f>"国际经济与贸易"</f>
        <v>国际经济与贸易</v>
      </c>
    </row>
    <row r="125" s="2" customFormat="1" ht="20" customHeight="1" spans="1:9">
      <c r="A125" s="6">
        <v>123</v>
      </c>
      <c r="B125" s="6" t="str">
        <f>"220720191202124801218646"</f>
        <v>220720191202124801218646</v>
      </c>
      <c r="C125" s="6" t="s">
        <v>12</v>
      </c>
      <c r="D125" s="6" t="str">
        <f>"陈德良"</f>
        <v>陈德良</v>
      </c>
      <c r="E125" s="6" t="str">
        <f>"男"</f>
        <v>男</v>
      </c>
      <c r="F125" s="6" t="str">
        <f>"汉族"</f>
        <v>汉族</v>
      </c>
      <c r="G125" s="6" t="str">
        <f>"中共党员"</f>
        <v>中共党员</v>
      </c>
      <c r="H125" s="6" t="str">
        <f t="shared" si="18"/>
        <v>本科</v>
      </c>
      <c r="I125" s="6" t="str">
        <f>"数学与应用数学"</f>
        <v>数学与应用数学</v>
      </c>
    </row>
    <row r="126" s="2" customFormat="1" ht="20" customHeight="1" spans="1:9">
      <c r="A126" s="6">
        <v>124</v>
      </c>
      <c r="B126" s="6" t="str">
        <f>"220720191202135808218684"</f>
        <v>220720191202135808218684</v>
      </c>
      <c r="C126" s="6" t="s">
        <v>12</v>
      </c>
      <c r="D126" s="6" t="str">
        <f>"韦苗苗"</f>
        <v>韦苗苗</v>
      </c>
      <c r="E126" s="6" t="str">
        <f>"女"</f>
        <v>女</v>
      </c>
      <c r="F126" s="6" t="str">
        <f>"黎族"</f>
        <v>黎族</v>
      </c>
      <c r="G126" s="6" t="str">
        <f>"群众"</f>
        <v>群众</v>
      </c>
      <c r="H126" s="6" t="str">
        <f t="shared" si="18"/>
        <v>本科</v>
      </c>
      <c r="I126" s="6" t="str">
        <f>"国际经济与贸易"</f>
        <v>国际经济与贸易</v>
      </c>
    </row>
    <row r="127" s="2" customFormat="1" ht="20" customHeight="1" spans="1:9">
      <c r="A127" s="6">
        <v>125</v>
      </c>
      <c r="B127" s="6" t="str">
        <f>"220720191202150034218715"</f>
        <v>220720191202150034218715</v>
      </c>
      <c r="C127" s="6" t="s">
        <v>12</v>
      </c>
      <c r="D127" s="6" t="str">
        <f>"刘琼"</f>
        <v>刘琼</v>
      </c>
      <c r="E127" s="6" t="str">
        <f>"男"</f>
        <v>男</v>
      </c>
      <c r="F127" s="6" t="str">
        <f t="shared" ref="F127:F136" si="24">"汉族"</f>
        <v>汉族</v>
      </c>
      <c r="G127" s="6" t="str">
        <f>"中共党员"</f>
        <v>中共党员</v>
      </c>
      <c r="H127" s="6" t="str">
        <f t="shared" si="18"/>
        <v>本科</v>
      </c>
      <c r="I127" s="6" t="str">
        <f>"金融需"</f>
        <v>金融需</v>
      </c>
    </row>
    <row r="128" s="2" customFormat="1" ht="20" customHeight="1" spans="1:9">
      <c r="A128" s="6">
        <v>126</v>
      </c>
      <c r="B128" s="6" t="str">
        <f>"220720191202163825213397"</f>
        <v>220720191202163825213397</v>
      </c>
      <c r="C128" s="6" t="s">
        <v>12</v>
      </c>
      <c r="D128" s="6" t="str">
        <f>"王先柳"</f>
        <v>王先柳</v>
      </c>
      <c r="E128" s="6" t="str">
        <f>"女"</f>
        <v>女</v>
      </c>
      <c r="F128" s="6" t="str">
        <f t="shared" si="24"/>
        <v>汉族</v>
      </c>
      <c r="G128" s="6" t="str">
        <f>"团员"</f>
        <v>团员</v>
      </c>
      <c r="H128" s="6" t="str">
        <f t="shared" si="18"/>
        <v>本科</v>
      </c>
      <c r="I128" s="6" t="str">
        <f>"金融学"</f>
        <v>金融学</v>
      </c>
    </row>
    <row r="129" s="2" customFormat="1" ht="20" customHeight="1" spans="1:9">
      <c r="A129" s="6">
        <v>127</v>
      </c>
      <c r="B129" s="6" t="str">
        <f>"220720191126090110212991"</f>
        <v>220720191126090110212991</v>
      </c>
      <c r="C129" s="6" t="s">
        <v>13</v>
      </c>
      <c r="D129" s="6" t="str">
        <f>"陈文君"</f>
        <v>陈文君</v>
      </c>
      <c r="E129" s="6" t="str">
        <f>"女"</f>
        <v>女</v>
      </c>
      <c r="F129" s="6" t="str">
        <f t="shared" si="24"/>
        <v>汉族</v>
      </c>
      <c r="G129" s="6" t="str">
        <f>"团员"</f>
        <v>团员</v>
      </c>
      <c r="H129" s="6" t="str">
        <f t="shared" si="18"/>
        <v>本科</v>
      </c>
      <c r="I129" s="6" t="str">
        <f>"给排水工程"</f>
        <v>给排水工程</v>
      </c>
    </row>
    <row r="130" s="2" customFormat="1" ht="20" customHeight="1" spans="1:9">
      <c r="A130" s="6">
        <v>128</v>
      </c>
      <c r="B130" s="6" t="str">
        <f>"220720191126091826213063"</f>
        <v>220720191126091826213063</v>
      </c>
      <c r="C130" s="6" t="s">
        <v>13</v>
      </c>
      <c r="D130" s="6" t="str">
        <f>"黄杰帅"</f>
        <v>黄杰帅</v>
      </c>
      <c r="E130" s="6" t="str">
        <f>"男"</f>
        <v>男</v>
      </c>
      <c r="F130" s="6" t="str">
        <f t="shared" si="24"/>
        <v>汉族</v>
      </c>
      <c r="G130" s="6" t="str">
        <f>"团员"</f>
        <v>团员</v>
      </c>
      <c r="H130" s="6" t="str">
        <f t="shared" si="18"/>
        <v>本科</v>
      </c>
      <c r="I130" s="6" t="str">
        <f>"工程管理"</f>
        <v>工程管理</v>
      </c>
    </row>
    <row r="131" s="2" customFormat="1" ht="20" customHeight="1" spans="1:9">
      <c r="A131" s="6">
        <v>129</v>
      </c>
      <c r="B131" s="6" t="str">
        <f>"220720191126093755213162"</f>
        <v>220720191126093755213162</v>
      </c>
      <c r="C131" s="6" t="s">
        <v>13</v>
      </c>
      <c r="D131" s="6" t="str">
        <f>"丁晓媚"</f>
        <v>丁晓媚</v>
      </c>
      <c r="E131" s="6" t="str">
        <f>"女"</f>
        <v>女</v>
      </c>
      <c r="F131" s="6" t="str">
        <f t="shared" si="24"/>
        <v>汉族</v>
      </c>
      <c r="G131" s="6" t="str">
        <f>"团员"</f>
        <v>团员</v>
      </c>
      <c r="H131" s="6" t="str">
        <f t="shared" si="18"/>
        <v>本科</v>
      </c>
      <c r="I131" s="6" t="str">
        <f>"风景园林（园林工程技术方向）"</f>
        <v>风景园林（园林工程技术方向）</v>
      </c>
    </row>
    <row r="132" s="2" customFormat="1" ht="20" customHeight="1" spans="1:9">
      <c r="A132" s="6">
        <v>130</v>
      </c>
      <c r="B132" s="6" t="str">
        <f>"220720191126094735213205"</f>
        <v>220720191126094735213205</v>
      </c>
      <c r="C132" s="6" t="s">
        <v>13</v>
      </c>
      <c r="D132" s="6" t="str">
        <f>"何怡潇"</f>
        <v>何怡潇</v>
      </c>
      <c r="E132" s="6" t="str">
        <f>"女"</f>
        <v>女</v>
      </c>
      <c r="F132" s="6" t="str">
        <f t="shared" si="24"/>
        <v>汉族</v>
      </c>
      <c r="G132" s="6" t="str">
        <f>"群众"</f>
        <v>群众</v>
      </c>
      <c r="H132" s="6" t="str">
        <f t="shared" si="18"/>
        <v>本科</v>
      </c>
      <c r="I132" s="6" t="str">
        <f>"工程管理"</f>
        <v>工程管理</v>
      </c>
    </row>
    <row r="133" s="2" customFormat="1" ht="20" customHeight="1" spans="1:9">
      <c r="A133" s="6">
        <v>131</v>
      </c>
      <c r="B133" s="6" t="str">
        <f>"220720191126095852213252"</f>
        <v>220720191126095852213252</v>
      </c>
      <c r="C133" s="6" t="s">
        <v>13</v>
      </c>
      <c r="D133" s="6" t="str">
        <f>"彭寿民"</f>
        <v>彭寿民</v>
      </c>
      <c r="E133" s="6" t="str">
        <f>"男"</f>
        <v>男</v>
      </c>
      <c r="F133" s="6" t="str">
        <f t="shared" si="24"/>
        <v>汉族</v>
      </c>
      <c r="G133" s="6" t="str">
        <f>"群众"</f>
        <v>群众</v>
      </c>
      <c r="H133" s="6" t="str">
        <f t="shared" si="18"/>
        <v>本科</v>
      </c>
      <c r="I133" s="6" t="str">
        <f>"工程管理"</f>
        <v>工程管理</v>
      </c>
    </row>
    <row r="134" s="2" customFormat="1" ht="20" customHeight="1" spans="1:9">
      <c r="A134" s="6">
        <v>132</v>
      </c>
      <c r="B134" s="6" t="str">
        <f>"220720191126100211213265"</f>
        <v>220720191126100211213265</v>
      </c>
      <c r="C134" s="6" t="s">
        <v>13</v>
      </c>
      <c r="D134" s="6" t="str">
        <f>"薛以浩"</f>
        <v>薛以浩</v>
      </c>
      <c r="E134" s="6" t="str">
        <f>"男"</f>
        <v>男</v>
      </c>
      <c r="F134" s="6" t="str">
        <f t="shared" si="24"/>
        <v>汉族</v>
      </c>
      <c r="G134" s="6" t="str">
        <f>"群众"</f>
        <v>群众</v>
      </c>
      <c r="H134" s="6" t="str">
        <f t="shared" si="18"/>
        <v>本科</v>
      </c>
      <c r="I134" s="6" t="str">
        <f>"工程管理"</f>
        <v>工程管理</v>
      </c>
    </row>
    <row r="135" s="2" customFormat="1" ht="20" customHeight="1" spans="1:9">
      <c r="A135" s="6">
        <v>133</v>
      </c>
      <c r="B135" s="6" t="str">
        <f>"220720191126101107213300"</f>
        <v>220720191126101107213300</v>
      </c>
      <c r="C135" s="6" t="s">
        <v>13</v>
      </c>
      <c r="D135" s="6" t="str">
        <f>"吴育江"</f>
        <v>吴育江</v>
      </c>
      <c r="E135" s="6" t="str">
        <f>"男"</f>
        <v>男</v>
      </c>
      <c r="F135" s="6" t="str">
        <f t="shared" si="24"/>
        <v>汉族</v>
      </c>
      <c r="G135" s="6" t="str">
        <f>"中共党员"</f>
        <v>中共党员</v>
      </c>
      <c r="H135" s="6" t="str">
        <f t="shared" si="18"/>
        <v>本科</v>
      </c>
      <c r="I135" s="6" t="str">
        <f>"工程管理"</f>
        <v>工程管理</v>
      </c>
    </row>
    <row r="136" s="2" customFormat="1" ht="20" customHeight="1" spans="1:9">
      <c r="A136" s="6">
        <v>134</v>
      </c>
      <c r="B136" s="6" t="str">
        <f>"220720191126105404213452"</f>
        <v>220720191126105404213452</v>
      </c>
      <c r="C136" s="6" t="s">
        <v>13</v>
      </c>
      <c r="D136" s="6" t="str">
        <f>"陈丁云"</f>
        <v>陈丁云</v>
      </c>
      <c r="E136" s="6" t="str">
        <f>"女"</f>
        <v>女</v>
      </c>
      <c r="F136" s="6" t="str">
        <f t="shared" si="24"/>
        <v>汉族</v>
      </c>
      <c r="G136" s="6" t="str">
        <f>"团员"</f>
        <v>团员</v>
      </c>
      <c r="H136" s="6" t="str">
        <f t="shared" si="18"/>
        <v>本科</v>
      </c>
      <c r="I136" s="6" t="str">
        <f>"园林"</f>
        <v>园林</v>
      </c>
    </row>
    <row r="137" s="2" customFormat="1" ht="20" customHeight="1" spans="1:9">
      <c r="A137" s="6">
        <v>135</v>
      </c>
      <c r="B137" s="6" t="str">
        <f>"220720191127094417215145"</f>
        <v>220720191127094417215145</v>
      </c>
      <c r="C137" s="6" t="s">
        <v>13</v>
      </c>
      <c r="D137" s="6" t="str">
        <f>"杜正华"</f>
        <v>杜正华</v>
      </c>
      <c r="E137" s="6" t="str">
        <f>"男"</f>
        <v>男</v>
      </c>
      <c r="F137" s="6" t="str">
        <f t="shared" ref="F137:F146" si="25">"汉族"</f>
        <v>汉族</v>
      </c>
      <c r="G137" s="6" t="str">
        <f>"团员"</f>
        <v>团员</v>
      </c>
      <c r="H137" s="6" t="str">
        <f t="shared" si="18"/>
        <v>本科</v>
      </c>
      <c r="I137" s="6" t="str">
        <f>"工程管理"</f>
        <v>工程管理</v>
      </c>
    </row>
    <row r="138" s="2" customFormat="1" ht="20" customHeight="1" spans="1:9">
      <c r="A138" s="6">
        <v>136</v>
      </c>
      <c r="B138" s="6" t="str">
        <f>"220720191127152015215621"</f>
        <v>220720191127152015215621</v>
      </c>
      <c r="C138" s="6" t="s">
        <v>13</v>
      </c>
      <c r="D138" s="6" t="str">
        <f>"邢丹丹"</f>
        <v>邢丹丹</v>
      </c>
      <c r="E138" s="6" t="str">
        <f>"女"</f>
        <v>女</v>
      </c>
      <c r="F138" s="6" t="str">
        <f t="shared" si="25"/>
        <v>汉族</v>
      </c>
      <c r="G138" s="6" t="str">
        <f>"群众"</f>
        <v>群众</v>
      </c>
      <c r="H138" s="6" t="str">
        <f t="shared" si="18"/>
        <v>本科</v>
      </c>
      <c r="I138" s="6" t="str">
        <f>"工程管理"</f>
        <v>工程管理</v>
      </c>
    </row>
    <row r="139" s="2" customFormat="1" ht="20" customHeight="1" spans="1:9">
      <c r="A139" s="6">
        <v>137</v>
      </c>
      <c r="B139" s="6" t="str">
        <f>"220720191128103618216485"</f>
        <v>220720191128103618216485</v>
      </c>
      <c r="C139" s="6" t="s">
        <v>13</v>
      </c>
      <c r="D139" s="6" t="str">
        <f>"迟铭"</f>
        <v>迟铭</v>
      </c>
      <c r="E139" s="6" t="str">
        <f>"男"</f>
        <v>男</v>
      </c>
      <c r="F139" s="6" t="str">
        <f t="shared" si="25"/>
        <v>汉族</v>
      </c>
      <c r="G139" s="6" t="str">
        <f>"中共党员"</f>
        <v>中共党员</v>
      </c>
      <c r="H139" s="6" t="str">
        <f t="shared" si="18"/>
        <v>本科</v>
      </c>
      <c r="I139" s="6" t="str">
        <f>"工程管理"</f>
        <v>工程管理</v>
      </c>
    </row>
    <row r="140" s="2" customFormat="1" ht="20" customHeight="1" spans="1:9">
      <c r="A140" s="6">
        <v>138</v>
      </c>
      <c r="B140" s="6" t="str">
        <f>"220720191128150701216824"</f>
        <v>220720191128150701216824</v>
      </c>
      <c r="C140" s="6" t="s">
        <v>13</v>
      </c>
      <c r="D140" s="6" t="str">
        <f>"符国云"</f>
        <v>符国云</v>
      </c>
      <c r="E140" s="6" t="str">
        <f>"女"</f>
        <v>女</v>
      </c>
      <c r="F140" s="6" t="str">
        <f t="shared" si="25"/>
        <v>汉族</v>
      </c>
      <c r="G140" s="6" t="str">
        <f>"群众"</f>
        <v>群众</v>
      </c>
      <c r="H140" s="6" t="str">
        <f t="shared" si="18"/>
        <v>本科</v>
      </c>
      <c r="I140" s="6" t="str">
        <f>"工程管理"</f>
        <v>工程管理</v>
      </c>
    </row>
    <row r="141" s="2" customFormat="1" ht="20" customHeight="1" spans="1:9">
      <c r="A141" s="6">
        <v>139</v>
      </c>
      <c r="B141" s="6" t="str">
        <f>"220720191129134445217545"</f>
        <v>220720191129134445217545</v>
      </c>
      <c r="C141" s="6" t="s">
        <v>13</v>
      </c>
      <c r="D141" s="6" t="str">
        <f>"王丽姣"</f>
        <v>王丽姣</v>
      </c>
      <c r="E141" s="6" t="str">
        <f>"女"</f>
        <v>女</v>
      </c>
      <c r="F141" s="6" t="str">
        <f t="shared" si="25"/>
        <v>汉族</v>
      </c>
      <c r="G141" s="6" t="str">
        <f>"中共党员"</f>
        <v>中共党员</v>
      </c>
      <c r="H141" s="6" t="str">
        <f t="shared" si="18"/>
        <v>本科</v>
      </c>
      <c r="I141" s="6" t="str">
        <f>"资源环境与城乡规划管理"</f>
        <v>资源环境与城乡规划管理</v>
      </c>
    </row>
    <row r="142" s="2" customFormat="1" ht="20" customHeight="1" spans="1:9">
      <c r="A142" s="6">
        <v>140</v>
      </c>
      <c r="B142" s="6" t="str">
        <f>"220720191129153006217606"</f>
        <v>220720191129153006217606</v>
      </c>
      <c r="C142" s="6" t="s">
        <v>13</v>
      </c>
      <c r="D142" s="6" t="str">
        <f>"英高翔"</f>
        <v>英高翔</v>
      </c>
      <c r="E142" s="6" t="str">
        <f>"男"</f>
        <v>男</v>
      </c>
      <c r="F142" s="6" t="str">
        <f t="shared" si="25"/>
        <v>汉族</v>
      </c>
      <c r="G142" s="6" t="str">
        <f>"团员"</f>
        <v>团员</v>
      </c>
      <c r="H142" s="6" t="str">
        <f t="shared" si="18"/>
        <v>本科</v>
      </c>
      <c r="I142" s="6" t="str">
        <f t="shared" ref="I142:I147" si="26">"工程管理"</f>
        <v>工程管理</v>
      </c>
    </row>
    <row r="143" s="2" customFormat="1" ht="20" customHeight="1" spans="1:9">
      <c r="A143" s="6">
        <v>141</v>
      </c>
      <c r="B143" s="6" t="str">
        <f>"220720191129153739217612"</f>
        <v>220720191129153739217612</v>
      </c>
      <c r="C143" s="6" t="s">
        <v>13</v>
      </c>
      <c r="D143" s="6" t="str">
        <f>"罗岚斐"</f>
        <v>罗岚斐</v>
      </c>
      <c r="E143" s="6" t="str">
        <f>"女"</f>
        <v>女</v>
      </c>
      <c r="F143" s="6" t="str">
        <f t="shared" si="25"/>
        <v>汉族</v>
      </c>
      <c r="G143" s="6" t="str">
        <f>"团员"</f>
        <v>团员</v>
      </c>
      <c r="H143" s="6" t="str">
        <f t="shared" si="18"/>
        <v>本科</v>
      </c>
      <c r="I143" s="6" t="str">
        <f t="shared" si="26"/>
        <v>工程管理</v>
      </c>
    </row>
    <row r="144" s="2" customFormat="1" ht="20" customHeight="1" spans="1:9">
      <c r="A144" s="6">
        <v>142</v>
      </c>
      <c r="B144" s="6" t="str">
        <f>"220720191129173658214023"</f>
        <v>220720191129173658214023</v>
      </c>
      <c r="C144" s="6" t="s">
        <v>13</v>
      </c>
      <c r="D144" s="6" t="str">
        <f>"符绪海"</f>
        <v>符绪海</v>
      </c>
      <c r="E144" s="6" t="str">
        <f>"男"</f>
        <v>男</v>
      </c>
      <c r="F144" s="6" t="str">
        <f t="shared" si="25"/>
        <v>汉族</v>
      </c>
      <c r="G144" s="6" t="str">
        <f>"群众"</f>
        <v>群众</v>
      </c>
      <c r="H144" s="6" t="str">
        <f t="shared" si="18"/>
        <v>本科</v>
      </c>
      <c r="I144" s="6" t="str">
        <f t="shared" si="26"/>
        <v>工程管理</v>
      </c>
    </row>
    <row r="145" s="2" customFormat="1" ht="20" customHeight="1" spans="1:9">
      <c r="A145" s="6">
        <v>143</v>
      </c>
      <c r="B145" s="6" t="str">
        <f>"220720191130084931217919"</f>
        <v>220720191130084931217919</v>
      </c>
      <c r="C145" s="6" t="s">
        <v>13</v>
      </c>
      <c r="D145" s="6" t="str">
        <f>"陈林芳"</f>
        <v>陈林芳</v>
      </c>
      <c r="E145" s="6" t="str">
        <f>"女"</f>
        <v>女</v>
      </c>
      <c r="F145" s="6" t="str">
        <f t="shared" si="25"/>
        <v>汉族</v>
      </c>
      <c r="G145" s="6" t="str">
        <f>"中共党员"</f>
        <v>中共党员</v>
      </c>
      <c r="H145" s="6" t="str">
        <f>"本科"</f>
        <v>本科</v>
      </c>
      <c r="I145" s="6" t="str">
        <f t="shared" si="26"/>
        <v>工程管理</v>
      </c>
    </row>
    <row r="146" s="2" customFormat="1" ht="20" customHeight="1" spans="1:9">
      <c r="A146" s="6">
        <v>144</v>
      </c>
      <c r="B146" s="6" t="str">
        <f>"220720191202094154218517"</f>
        <v>220720191202094154218517</v>
      </c>
      <c r="C146" s="6" t="s">
        <v>13</v>
      </c>
      <c r="D146" s="6" t="str">
        <f>"陈经诗"</f>
        <v>陈经诗</v>
      </c>
      <c r="E146" s="6" t="str">
        <f>"男"</f>
        <v>男</v>
      </c>
      <c r="F146" s="6" t="str">
        <f t="shared" si="25"/>
        <v>汉族</v>
      </c>
      <c r="G146" s="6" t="str">
        <f>"团员"</f>
        <v>团员</v>
      </c>
      <c r="H146" s="6" t="str">
        <f>"本科"</f>
        <v>本科</v>
      </c>
      <c r="I146" s="6" t="str">
        <f t="shared" si="26"/>
        <v>工程管理</v>
      </c>
    </row>
    <row r="147" s="2" customFormat="1" ht="20" customHeight="1" spans="1:9">
      <c r="A147" s="6">
        <v>145</v>
      </c>
      <c r="B147" s="6" t="str">
        <f>"220720191202125916218656"</f>
        <v>220720191202125916218656</v>
      </c>
      <c r="C147" s="6" t="s">
        <v>13</v>
      </c>
      <c r="D147" s="6" t="str">
        <f>"符丽荣"</f>
        <v>符丽荣</v>
      </c>
      <c r="E147" s="6" t="str">
        <f>"女"</f>
        <v>女</v>
      </c>
      <c r="F147" s="6" t="str">
        <f t="shared" ref="F147:F156" si="27">"汉族"</f>
        <v>汉族</v>
      </c>
      <c r="G147" s="6" t="str">
        <f>"团员"</f>
        <v>团员</v>
      </c>
      <c r="H147" s="6" t="str">
        <f>"本科"</f>
        <v>本科</v>
      </c>
      <c r="I147" s="6" t="str">
        <f t="shared" si="26"/>
        <v>工程管理</v>
      </c>
    </row>
    <row r="148" s="2" customFormat="1" ht="20" customHeight="1" spans="1:9">
      <c r="A148" s="6">
        <v>146</v>
      </c>
      <c r="B148" s="6" t="str">
        <f>"220720191126102049213337"</f>
        <v>220720191126102049213337</v>
      </c>
      <c r="C148" s="6" t="s">
        <v>14</v>
      </c>
      <c r="D148" s="6" t="str">
        <f>"梁阿妹"</f>
        <v>梁阿妹</v>
      </c>
      <c r="E148" s="6" t="str">
        <f>"女"</f>
        <v>女</v>
      </c>
      <c r="F148" s="6" t="str">
        <f t="shared" si="27"/>
        <v>汉族</v>
      </c>
      <c r="G148" s="6" t="str">
        <f>"中共党员"</f>
        <v>中共党员</v>
      </c>
      <c r="H148" s="6" t="str">
        <f>"研究生"</f>
        <v>研究生</v>
      </c>
      <c r="I148" s="6" t="str">
        <f>"社会工作"</f>
        <v>社会工作</v>
      </c>
    </row>
    <row r="149" s="2" customFormat="1" ht="20" customHeight="1" spans="1:9">
      <c r="A149" s="6">
        <v>147</v>
      </c>
      <c r="B149" s="6" t="str">
        <f>"220720191126161041214164"</f>
        <v>220720191126161041214164</v>
      </c>
      <c r="C149" s="6" t="s">
        <v>14</v>
      </c>
      <c r="D149" s="6" t="str">
        <f>"王宁"</f>
        <v>王宁</v>
      </c>
      <c r="E149" s="6" t="str">
        <f>"女"</f>
        <v>女</v>
      </c>
      <c r="F149" s="6" t="str">
        <f t="shared" si="27"/>
        <v>汉族</v>
      </c>
      <c r="G149" s="6" t="str">
        <f>"中共党员"</f>
        <v>中共党员</v>
      </c>
      <c r="H149" s="6" t="str">
        <f t="shared" ref="H149:H162" si="28">"本科"</f>
        <v>本科</v>
      </c>
      <c r="I149" s="6" t="str">
        <f>"社会工作"</f>
        <v>社会工作</v>
      </c>
    </row>
    <row r="150" s="2" customFormat="1" ht="20" customHeight="1" spans="1:9">
      <c r="A150" s="6">
        <v>148</v>
      </c>
      <c r="B150" s="6" t="str">
        <f>"220720191126162822214201"</f>
        <v>220720191126162822214201</v>
      </c>
      <c r="C150" s="6" t="s">
        <v>14</v>
      </c>
      <c r="D150" s="6" t="str">
        <f>"陈笔剑"</f>
        <v>陈笔剑</v>
      </c>
      <c r="E150" s="6" t="str">
        <f>"男"</f>
        <v>男</v>
      </c>
      <c r="F150" s="6" t="str">
        <f t="shared" si="27"/>
        <v>汉族</v>
      </c>
      <c r="G150" s="6" t="str">
        <f>"群众"</f>
        <v>群众</v>
      </c>
      <c r="H150" s="6" t="str">
        <f t="shared" si="28"/>
        <v>本科</v>
      </c>
      <c r="I150" s="6" t="str">
        <f>"社会工作"</f>
        <v>社会工作</v>
      </c>
    </row>
    <row r="151" s="2" customFormat="1" ht="20" customHeight="1" spans="1:9">
      <c r="A151" s="6">
        <v>149</v>
      </c>
      <c r="B151" s="6" t="str">
        <f>"220720191126173438214368"</f>
        <v>220720191126173438214368</v>
      </c>
      <c r="C151" s="6" t="s">
        <v>14</v>
      </c>
      <c r="D151" s="6" t="str">
        <f>"羊海燕"</f>
        <v>羊海燕</v>
      </c>
      <c r="E151" s="6" t="str">
        <f>"女"</f>
        <v>女</v>
      </c>
      <c r="F151" s="6" t="str">
        <f t="shared" si="27"/>
        <v>汉族</v>
      </c>
      <c r="G151" s="6" t="str">
        <f>"群众"</f>
        <v>群众</v>
      </c>
      <c r="H151" s="6" t="str">
        <f t="shared" si="28"/>
        <v>本科</v>
      </c>
      <c r="I151" s="6" t="str">
        <f>"社会工作"</f>
        <v>社会工作</v>
      </c>
    </row>
    <row r="152" s="2" customFormat="1" ht="20" customHeight="1" spans="1:9">
      <c r="A152" s="6">
        <v>150</v>
      </c>
      <c r="B152" s="6" t="str">
        <f>"220720191126185719214508"</f>
        <v>220720191126185719214508</v>
      </c>
      <c r="C152" s="6" t="s">
        <v>14</v>
      </c>
      <c r="D152" s="6" t="str">
        <f>"林云"</f>
        <v>林云</v>
      </c>
      <c r="E152" s="6" t="str">
        <f>"女"</f>
        <v>女</v>
      </c>
      <c r="F152" s="6" t="str">
        <f t="shared" si="27"/>
        <v>汉族</v>
      </c>
      <c r="G152" s="6" t="str">
        <f>"群众"</f>
        <v>群众</v>
      </c>
      <c r="H152" s="6" t="str">
        <f t="shared" si="28"/>
        <v>本科</v>
      </c>
      <c r="I152" s="6" t="str">
        <f>"社会学"</f>
        <v>社会学</v>
      </c>
    </row>
    <row r="153" s="2" customFormat="1" ht="20" customHeight="1" spans="1:9">
      <c r="A153" s="6">
        <v>151</v>
      </c>
      <c r="B153" s="6" t="str">
        <f>"220720191126193220214556"</f>
        <v>220720191126193220214556</v>
      </c>
      <c r="C153" s="6" t="s">
        <v>14</v>
      </c>
      <c r="D153" s="6" t="str">
        <f>"符娟"</f>
        <v>符娟</v>
      </c>
      <c r="E153" s="6" t="str">
        <f>"女"</f>
        <v>女</v>
      </c>
      <c r="F153" s="6" t="str">
        <f t="shared" si="27"/>
        <v>汉族</v>
      </c>
      <c r="G153" s="6" t="str">
        <f>"群众"</f>
        <v>群众</v>
      </c>
      <c r="H153" s="6" t="str">
        <f t="shared" si="28"/>
        <v>本科</v>
      </c>
      <c r="I153" s="6" t="str">
        <f>"社会工作"</f>
        <v>社会工作</v>
      </c>
    </row>
    <row r="154" s="2" customFormat="1" ht="20" customHeight="1" spans="1:9">
      <c r="A154" s="6">
        <v>152</v>
      </c>
      <c r="B154" s="6" t="str">
        <f>"220720191126212643214771"</f>
        <v>220720191126212643214771</v>
      </c>
      <c r="C154" s="6" t="s">
        <v>14</v>
      </c>
      <c r="D154" s="6" t="str">
        <f>"伍香俣"</f>
        <v>伍香俣</v>
      </c>
      <c r="E154" s="6" t="str">
        <f>"女"</f>
        <v>女</v>
      </c>
      <c r="F154" s="6" t="str">
        <f t="shared" si="27"/>
        <v>汉族</v>
      </c>
      <c r="G154" s="6" t="str">
        <f>"团员"</f>
        <v>团员</v>
      </c>
      <c r="H154" s="6" t="str">
        <f t="shared" si="28"/>
        <v>本科</v>
      </c>
      <c r="I154" s="6" t="str">
        <f>"社会工作"</f>
        <v>社会工作</v>
      </c>
    </row>
    <row r="155" s="2" customFormat="1" ht="20" customHeight="1" spans="1:9">
      <c r="A155" s="6">
        <v>153</v>
      </c>
      <c r="B155" s="6" t="str">
        <f>"220720191127012211214967"</f>
        <v>220720191127012211214967</v>
      </c>
      <c r="C155" s="6" t="s">
        <v>14</v>
      </c>
      <c r="D155" s="6" t="str">
        <f>"李建均"</f>
        <v>李建均</v>
      </c>
      <c r="E155" s="6" t="str">
        <f>"男"</f>
        <v>男</v>
      </c>
      <c r="F155" s="6" t="str">
        <f t="shared" si="27"/>
        <v>汉族</v>
      </c>
      <c r="G155" s="6" t="str">
        <f>"团员"</f>
        <v>团员</v>
      </c>
      <c r="H155" s="6" t="str">
        <f t="shared" si="28"/>
        <v>本科</v>
      </c>
      <c r="I155" s="6" t="str">
        <f>"社会工作"</f>
        <v>社会工作</v>
      </c>
    </row>
    <row r="156" s="2" customFormat="1" ht="20" customHeight="1" spans="1:9">
      <c r="A156" s="6">
        <v>154</v>
      </c>
      <c r="B156" s="6" t="str">
        <f>"220720191127121528215383"</f>
        <v>220720191127121528215383</v>
      </c>
      <c r="C156" s="6" t="s">
        <v>14</v>
      </c>
      <c r="D156" s="6" t="str">
        <f>"羊廷慧"</f>
        <v>羊廷慧</v>
      </c>
      <c r="E156" s="6" t="str">
        <f>"女"</f>
        <v>女</v>
      </c>
      <c r="F156" s="6" t="str">
        <f t="shared" si="27"/>
        <v>汉族</v>
      </c>
      <c r="G156" s="6" t="str">
        <f>"团员"</f>
        <v>团员</v>
      </c>
      <c r="H156" s="6" t="str">
        <f t="shared" si="28"/>
        <v>本科</v>
      </c>
      <c r="I156" s="6" t="str">
        <f>"社会学"</f>
        <v>社会学</v>
      </c>
    </row>
    <row r="157" s="2" customFormat="1" ht="20" customHeight="1" spans="1:9">
      <c r="A157" s="6">
        <v>155</v>
      </c>
      <c r="B157" s="6" t="str">
        <f>"220720191127153920215648"</f>
        <v>220720191127153920215648</v>
      </c>
      <c r="C157" s="6" t="s">
        <v>14</v>
      </c>
      <c r="D157" s="6" t="str">
        <f>"朱日亮"</f>
        <v>朱日亮</v>
      </c>
      <c r="E157" s="6" t="str">
        <f>"男"</f>
        <v>男</v>
      </c>
      <c r="F157" s="6" t="str">
        <f>"黎族"</f>
        <v>黎族</v>
      </c>
      <c r="G157" s="6" t="str">
        <f>"群众"</f>
        <v>群众</v>
      </c>
      <c r="H157" s="6" t="str">
        <f t="shared" si="28"/>
        <v>本科</v>
      </c>
      <c r="I157" s="6" t="str">
        <f>"社会工作"</f>
        <v>社会工作</v>
      </c>
    </row>
    <row r="158" s="2" customFormat="1" ht="20" customHeight="1" spans="1:9">
      <c r="A158" s="6">
        <v>156</v>
      </c>
      <c r="B158" s="6" t="str">
        <f>"220720191127170600215804"</f>
        <v>220720191127170600215804</v>
      </c>
      <c r="C158" s="6" t="s">
        <v>14</v>
      </c>
      <c r="D158" s="6" t="str">
        <f>"杨玉坤"</f>
        <v>杨玉坤</v>
      </c>
      <c r="E158" s="6" t="str">
        <f>"女"</f>
        <v>女</v>
      </c>
      <c r="F158" s="6" t="str">
        <f>"汉族"</f>
        <v>汉族</v>
      </c>
      <c r="G158" s="6" t="str">
        <f>"团员"</f>
        <v>团员</v>
      </c>
      <c r="H158" s="6" t="str">
        <f t="shared" si="28"/>
        <v>本科</v>
      </c>
      <c r="I158" s="6" t="str">
        <f>"社会工作"</f>
        <v>社会工作</v>
      </c>
    </row>
    <row r="159" s="2" customFormat="1" ht="20" customHeight="1" spans="1:9">
      <c r="A159" s="6">
        <v>157</v>
      </c>
      <c r="B159" s="6" t="str">
        <f>"220720191127202740216041"</f>
        <v>220720191127202740216041</v>
      </c>
      <c r="C159" s="6" t="s">
        <v>14</v>
      </c>
      <c r="D159" s="6" t="str">
        <f>"王月"</f>
        <v>王月</v>
      </c>
      <c r="E159" s="6" t="str">
        <f>"女"</f>
        <v>女</v>
      </c>
      <c r="F159" s="6" t="str">
        <f>"汉族"</f>
        <v>汉族</v>
      </c>
      <c r="G159" s="6" t="str">
        <f>"中共党员"</f>
        <v>中共党员</v>
      </c>
      <c r="H159" s="6" t="str">
        <f t="shared" si="28"/>
        <v>本科</v>
      </c>
      <c r="I159" s="6" t="str">
        <f>"社会学"</f>
        <v>社会学</v>
      </c>
    </row>
    <row r="160" s="2" customFormat="1" ht="20" customHeight="1" spans="1:9">
      <c r="A160" s="6">
        <v>158</v>
      </c>
      <c r="B160" s="6" t="str">
        <f>"220720191127233626216259"</f>
        <v>220720191127233626216259</v>
      </c>
      <c r="C160" s="6" t="s">
        <v>14</v>
      </c>
      <c r="D160" s="6" t="str">
        <f>"陈小健"</f>
        <v>陈小健</v>
      </c>
      <c r="E160" s="6" t="str">
        <f>"男"</f>
        <v>男</v>
      </c>
      <c r="F160" s="6" t="str">
        <f>"汉族"</f>
        <v>汉族</v>
      </c>
      <c r="G160" s="6" t="str">
        <f>"中共党员"</f>
        <v>中共党员</v>
      </c>
      <c r="H160" s="6" t="str">
        <f t="shared" si="28"/>
        <v>本科</v>
      </c>
      <c r="I160" s="6" t="str">
        <f>"社会学"</f>
        <v>社会学</v>
      </c>
    </row>
    <row r="161" s="2" customFormat="1" ht="20" customHeight="1" spans="1:9">
      <c r="A161" s="6">
        <v>159</v>
      </c>
      <c r="B161" s="6" t="str">
        <f>"220720191128100607216440"</f>
        <v>220720191128100607216440</v>
      </c>
      <c r="C161" s="6" t="s">
        <v>14</v>
      </c>
      <c r="D161" s="6" t="str">
        <f>"吉翠雪"</f>
        <v>吉翠雪</v>
      </c>
      <c r="E161" s="6" t="str">
        <f>"女"</f>
        <v>女</v>
      </c>
      <c r="F161" s="6" t="str">
        <f>"汉族"</f>
        <v>汉族</v>
      </c>
      <c r="G161" s="6" t="str">
        <f>"中共党员"</f>
        <v>中共党员</v>
      </c>
      <c r="H161" s="6" t="str">
        <f t="shared" si="28"/>
        <v>本科</v>
      </c>
      <c r="I161" s="6" t="str">
        <f>"社会学"</f>
        <v>社会学</v>
      </c>
    </row>
    <row r="162" s="2" customFormat="1" ht="20" customHeight="1" spans="1:9">
      <c r="A162" s="6">
        <v>160</v>
      </c>
      <c r="B162" s="6" t="str">
        <f>"220720191128103149216478"</f>
        <v>220720191128103149216478</v>
      </c>
      <c r="C162" s="6" t="s">
        <v>14</v>
      </c>
      <c r="D162" s="6" t="str">
        <f>"吴艳萍"</f>
        <v>吴艳萍</v>
      </c>
      <c r="E162" s="6" t="str">
        <f>"女"</f>
        <v>女</v>
      </c>
      <c r="F162" s="6" t="str">
        <f>"汉族"</f>
        <v>汉族</v>
      </c>
      <c r="G162" s="6" t="str">
        <f>"团员"</f>
        <v>团员</v>
      </c>
      <c r="H162" s="6" t="str">
        <f t="shared" si="28"/>
        <v>本科</v>
      </c>
      <c r="I162" s="6" t="str">
        <f>"社会工作"</f>
        <v>社会工作</v>
      </c>
    </row>
    <row r="163" s="2" customFormat="1" ht="20" customHeight="1" spans="1:9">
      <c r="A163" s="6">
        <v>161</v>
      </c>
      <c r="B163" s="6" t="str">
        <f>"220720191128231233217266"</f>
        <v>220720191128231233217266</v>
      </c>
      <c r="C163" s="6" t="s">
        <v>14</v>
      </c>
      <c r="D163" s="6" t="str">
        <f>"刘伟"</f>
        <v>刘伟</v>
      </c>
      <c r="E163" s="6" t="str">
        <f>"男"</f>
        <v>男</v>
      </c>
      <c r="F163" s="6" t="str">
        <f>"蒙古族"</f>
        <v>蒙古族</v>
      </c>
      <c r="G163" s="6" t="str">
        <f>"群众"</f>
        <v>群众</v>
      </c>
      <c r="H163" s="6" t="str">
        <f>"研究生"</f>
        <v>研究生</v>
      </c>
      <c r="I163" s="6" t="str">
        <f>"社会工作"</f>
        <v>社会工作</v>
      </c>
    </row>
    <row r="164" s="2" customFormat="1" ht="20" customHeight="1" spans="1:9">
      <c r="A164" s="6">
        <v>162</v>
      </c>
      <c r="B164" s="6" t="str">
        <f>"220720191129112447217460"</f>
        <v>220720191129112447217460</v>
      </c>
      <c r="C164" s="6" t="s">
        <v>14</v>
      </c>
      <c r="D164" s="6" t="str">
        <f>"郭晓磊"</f>
        <v>郭晓磊</v>
      </c>
      <c r="E164" s="6" t="str">
        <f>"女"</f>
        <v>女</v>
      </c>
      <c r="F164" s="6" t="str">
        <f>"汉族"</f>
        <v>汉族</v>
      </c>
      <c r="G164" s="6" t="str">
        <f>"中共党员"</f>
        <v>中共党员</v>
      </c>
      <c r="H164" s="6" t="str">
        <f t="shared" ref="H164:H227" si="29">"本科"</f>
        <v>本科</v>
      </c>
      <c r="I164" s="6" t="str">
        <f>"社会工作"</f>
        <v>社会工作</v>
      </c>
    </row>
    <row r="165" s="2" customFormat="1" ht="20" customHeight="1" spans="1:9">
      <c r="A165" s="6">
        <v>163</v>
      </c>
      <c r="B165" s="6" t="str">
        <f>"220720191129125043217144"</f>
        <v>220720191129125043217144</v>
      </c>
      <c r="C165" s="6" t="s">
        <v>14</v>
      </c>
      <c r="D165" s="6" t="str">
        <f>"符李蔓"</f>
        <v>符李蔓</v>
      </c>
      <c r="E165" s="6" t="str">
        <f>"女"</f>
        <v>女</v>
      </c>
      <c r="F165" s="6" t="str">
        <f>"汉族"</f>
        <v>汉族</v>
      </c>
      <c r="G165" s="6" t="str">
        <f>"群众"</f>
        <v>群众</v>
      </c>
      <c r="H165" s="6" t="str">
        <f t="shared" si="29"/>
        <v>本科</v>
      </c>
      <c r="I165" s="6" t="str">
        <f>"社会工作"</f>
        <v>社会工作</v>
      </c>
    </row>
    <row r="166" s="2" customFormat="1" ht="20" customHeight="1" spans="1:9">
      <c r="A166" s="6">
        <v>164</v>
      </c>
      <c r="B166" s="6" t="str">
        <f>"220720191129155154217624"</f>
        <v>220720191129155154217624</v>
      </c>
      <c r="C166" s="6" t="s">
        <v>14</v>
      </c>
      <c r="D166" s="6" t="str">
        <f>"张文利"</f>
        <v>张文利</v>
      </c>
      <c r="E166" s="6" t="str">
        <f>"女"</f>
        <v>女</v>
      </c>
      <c r="F166" s="6" t="str">
        <f>"汉族"</f>
        <v>汉族</v>
      </c>
      <c r="G166" s="6" t="str">
        <f>"中共党员"</f>
        <v>中共党员</v>
      </c>
      <c r="H166" s="6" t="str">
        <f t="shared" si="29"/>
        <v>本科</v>
      </c>
      <c r="I166" s="6" t="str">
        <f>"社会学（社会人类学）"</f>
        <v>社会学（社会人类学）</v>
      </c>
    </row>
    <row r="167" s="2" customFormat="1" ht="20" customHeight="1" spans="1:9">
      <c r="A167" s="6">
        <v>165</v>
      </c>
      <c r="B167" s="6" t="str">
        <f>"220720191129195724216172"</f>
        <v>220720191129195724216172</v>
      </c>
      <c r="C167" s="6" t="s">
        <v>14</v>
      </c>
      <c r="D167" s="6" t="str">
        <f>"符诗洁"</f>
        <v>符诗洁</v>
      </c>
      <c r="E167" s="6" t="str">
        <f>"女"</f>
        <v>女</v>
      </c>
      <c r="F167" s="6" t="str">
        <f>"汉族"</f>
        <v>汉族</v>
      </c>
      <c r="G167" s="6" t="str">
        <f>"团员"</f>
        <v>团员</v>
      </c>
      <c r="H167" s="6" t="str">
        <f t="shared" si="29"/>
        <v>本科</v>
      </c>
      <c r="I167" s="6" t="str">
        <f>"社会工作"</f>
        <v>社会工作</v>
      </c>
    </row>
    <row r="168" s="2" customFormat="1" ht="20" customHeight="1" spans="1:9">
      <c r="A168" s="6">
        <v>166</v>
      </c>
      <c r="B168" s="6" t="str">
        <f>"220720191130084527217918"</f>
        <v>220720191130084527217918</v>
      </c>
      <c r="C168" s="6" t="s">
        <v>14</v>
      </c>
      <c r="D168" s="6" t="str">
        <f>"曾美玉"</f>
        <v>曾美玉</v>
      </c>
      <c r="E168" s="6" t="str">
        <f>"女"</f>
        <v>女</v>
      </c>
      <c r="F168" s="6" t="str">
        <f>"汉族"</f>
        <v>汉族</v>
      </c>
      <c r="G168" s="6" t="str">
        <f>"群众"</f>
        <v>群众</v>
      </c>
      <c r="H168" s="6" t="str">
        <f t="shared" si="29"/>
        <v>本科</v>
      </c>
      <c r="I168" s="6" t="str">
        <f>"社会工作"</f>
        <v>社会工作</v>
      </c>
    </row>
    <row r="169" s="2" customFormat="1" ht="20" customHeight="1" spans="1:9">
      <c r="A169" s="6">
        <v>167</v>
      </c>
      <c r="B169" s="6" t="str">
        <f>"220720191201092255218279"</f>
        <v>220720191201092255218279</v>
      </c>
      <c r="C169" s="6" t="s">
        <v>14</v>
      </c>
      <c r="D169" s="6" t="str">
        <f>"黄斌"</f>
        <v>黄斌</v>
      </c>
      <c r="E169" s="6" t="str">
        <f>"男"</f>
        <v>男</v>
      </c>
      <c r="F169" s="6" t="str">
        <f>"黎族"</f>
        <v>黎族</v>
      </c>
      <c r="G169" s="6" t="str">
        <f>"群众"</f>
        <v>群众</v>
      </c>
      <c r="H169" s="6" t="str">
        <f t="shared" si="29"/>
        <v>本科</v>
      </c>
      <c r="I169" s="6" t="str">
        <f>"社会工作"</f>
        <v>社会工作</v>
      </c>
    </row>
    <row r="170" s="2" customFormat="1" ht="20" customHeight="1" spans="1:9">
      <c r="A170" s="6">
        <v>168</v>
      </c>
      <c r="B170" s="6" t="str">
        <f>"220720191201141812216329"</f>
        <v>220720191201141812216329</v>
      </c>
      <c r="C170" s="6" t="s">
        <v>14</v>
      </c>
      <c r="D170" s="6" t="str">
        <f>"蔡於弘"</f>
        <v>蔡於弘</v>
      </c>
      <c r="E170" s="6" t="str">
        <f>"男"</f>
        <v>男</v>
      </c>
      <c r="F170" s="6" t="str">
        <f t="shared" ref="F170:F180" si="30">"汉族"</f>
        <v>汉族</v>
      </c>
      <c r="G170" s="6" t="str">
        <f>"群众"</f>
        <v>群众</v>
      </c>
      <c r="H170" s="6" t="str">
        <f t="shared" si="29"/>
        <v>本科</v>
      </c>
      <c r="I170" s="6" t="str">
        <f>"社会学"</f>
        <v>社会学</v>
      </c>
    </row>
    <row r="171" s="2" customFormat="1" ht="20" customHeight="1" spans="1:9">
      <c r="A171" s="6">
        <v>169</v>
      </c>
      <c r="B171" s="6" t="str">
        <f>"220720191201150549218338"</f>
        <v>220720191201150549218338</v>
      </c>
      <c r="C171" s="6" t="s">
        <v>14</v>
      </c>
      <c r="D171" s="6" t="str">
        <f>"符青"</f>
        <v>符青</v>
      </c>
      <c r="E171" s="6" t="str">
        <f>"女"</f>
        <v>女</v>
      </c>
      <c r="F171" s="6" t="str">
        <f t="shared" si="30"/>
        <v>汉族</v>
      </c>
      <c r="G171" s="6" t="str">
        <f>"群众"</f>
        <v>群众</v>
      </c>
      <c r="H171" s="6" t="str">
        <f t="shared" si="29"/>
        <v>本科</v>
      </c>
      <c r="I171" s="6" t="str">
        <f>"社会工作"</f>
        <v>社会工作</v>
      </c>
    </row>
    <row r="172" s="2" customFormat="1" ht="20" customHeight="1" spans="1:9">
      <c r="A172" s="6">
        <v>170</v>
      </c>
      <c r="B172" s="6" t="str">
        <f>"220720191201185521218379"</f>
        <v>220720191201185521218379</v>
      </c>
      <c r="C172" s="6" t="s">
        <v>14</v>
      </c>
      <c r="D172" s="6" t="str">
        <f>"曾丽莎"</f>
        <v>曾丽莎</v>
      </c>
      <c r="E172" s="6" t="str">
        <f>"女"</f>
        <v>女</v>
      </c>
      <c r="F172" s="6" t="str">
        <f t="shared" si="30"/>
        <v>汉族</v>
      </c>
      <c r="G172" s="6" t="str">
        <f>"团员"</f>
        <v>团员</v>
      </c>
      <c r="H172" s="6" t="str">
        <f t="shared" si="29"/>
        <v>本科</v>
      </c>
      <c r="I172" s="6" t="str">
        <f>"社会学"</f>
        <v>社会学</v>
      </c>
    </row>
    <row r="173" s="2" customFormat="1" ht="20" customHeight="1" spans="1:9">
      <c r="A173" s="6">
        <v>171</v>
      </c>
      <c r="B173" s="6" t="str">
        <f>"220720191201225150218429"</f>
        <v>220720191201225150218429</v>
      </c>
      <c r="C173" s="6" t="s">
        <v>14</v>
      </c>
      <c r="D173" s="6" t="str">
        <f>"何映霓"</f>
        <v>何映霓</v>
      </c>
      <c r="E173" s="6" t="str">
        <f>"女"</f>
        <v>女</v>
      </c>
      <c r="F173" s="6" t="str">
        <f t="shared" si="30"/>
        <v>汉族</v>
      </c>
      <c r="G173" s="6" t="str">
        <f>"团员"</f>
        <v>团员</v>
      </c>
      <c r="H173" s="6" t="str">
        <f t="shared" si="29"/>
        <v>本科</v>
      </c>
      <c r="I173" s="6" t="str">
        <f>"社会工作"</f>
        <v>社会工作</v>
      </c>
    </row>
    <row r="174" s="2" customFormat="1" ht="20" customHeight="1" spans="1:9">
      <c r="A174" s="6">
        <v>172</v>
      </c>
      <c r="B174" s="6" t="str">
        <f>"220720191202141914218689"</f>
        <v>220720191202141914218689</v>
      </c>
      <c r="C174" s="6" t="s">
        <v>14</v>
      </c>
      <c r="D174" s="6" t="str">
        <f>"张熙强"</f>
        <v>张熙强</v>
      </c>
      <c r="E174" s="6" t="str">
        <f>"男"</f>
        <v>男</v>
      </c>
      <c r="F174" s="6" t="str">
        <f t="shared" si="30"/>
        <v>汉族</v>
      </c>
      <c r="G174" s="6" t="str">
        <f>"群众"</f>
        <v>群众</v>
      </c>
      <c r="H174" s="6" t="str">
        <f t="shared" si="29"/>
        <v>本科</v>
      </c>
      <c r="I174" s="6" t="str">
        <f>"社会工作"</f>
        <v>社会工作</v>
      </c>
    </row>
    <row r="175" s="2" customFormat="1" ht="20" customHeight="1" spans="1:9">
      <c r="A175" s="6">
        <v>173</v>
      </c>
      <c r="B175" s="6" t="str">
        <f>"220720191202161231217169"</f>
        <v>220720191202161231217169</v>
      </c>
      <c r="C175" s="6" t="s">
        <v>14</v>
      </c>
      <c r="D175" s="6" t="str">
        <f>"卓日初"</f>
        <v>卓日初</v>
      </c>
      <c r="E175" s="6" t="str">
        <f>"男"</f>
        <v>男</v>
      </c>
      <c r="F175" s="6" t="str">
        <f t="shared" si="30"/>
        <v>汉族</v>
      </c>
      <c r="G175" s="6" t="str">
        <f>"中共党员"</f>
        <v>中共党员</v>
      </c>
      <c r="H175" s="6" t="str">
        <f t="shared" si="29"/>
        <v>本科</v>
      </c>
      <c r="I175" s="6" t="str">
        <f>"社会学"</f>
        <v>社会学</v>
      </c>
    </row>
    <row r="176" s="2" customFormat="1" ht="20" customHeight="1" spans="1:9">
      <c r="A176" s="6">
        <v>174</v>
      </c>
      <c r="B176" s="6" t="str">
        <f>"220720191126090421213005"</f>
        <v>220720191126090421213005</v>
      </c>
      <c r="C176" s="6" t="s">
        <v>15</v>
      </c>
      <c r="D176" s="6" t="str">
        <f>"李美娇"</f>
        <v>李美娇</v>
      </c>
      <c r="E176" s="6" t="str">
        <f>"女"</f>
        <v>女</v>
      </c>
      <c r="F176" s="6" t="str">
        <f t="shared" si="30"/>
        <v>汉族</v>
      </c>
      <c r="G176" s="6" t="str">
        <f>"团员"</f>
        <v>团员</v>
      </c>
      <c r="H176" s="6" t="str">
        <f t="shared" si="29"/>
        <v>本科</v>
      </c>
      <c r="I176" s="6" t="str">
        <f>"行政管理专业"</f>
        <v>行政管理专业</v>
      </c>
    </row>
    <row r="177" s="2" customFormat="1" ht="20" customHeight="1" spans="1:9">
      <c r="A177" s="6">
        <v>175</v>
      </c>
      <c r="B177" s="6" t="str">
        <f>"220720191126091631213052"</f>
        <v>220720191126091631213052</v>
      </c>
      <c r="C177" s="6" t="s">
        <v>15</v>
      </c>
      <c r="D177" s="6" t="str">
        <f>"符丽丽"</f>
        <v>符丽丽</v>
      </c>
      <c r="E177" s="6" t="str">
        <f>"女"</f>
        <v>女</v>
      </c>
      <c r="F177" s="6" t="str">
        <f t="shared" si="30"/>
        <v>汉族</v>
      </c>
      <c r="G177" s="6" t="str">
        <f>"群众"</f>
        <v>群众</v>
      </c>
      <c r="H177" s="6" t="str">
        <f t="shared" si="29"/>
        <v>本科</v>
      </c>
      <c r="I177" s="6" t="str">
        <f>"行政管理"</f>
        <v>行政管理</v>
      </c>
    </row>
    <row r="178" s="2" customFormat="1" ht="20" customHeight="1" spans="1:9">
      <c r="A178" s="6">
        <v>176</v>
      </c>
      <c r="B178" s="6" t="str">
        <f>"220720191126091702213055"</f>
        <v>220720191126091702213055</v>
      </c>
      <c r="C178" s="6" t="s">
        <v>15</v>
      </c>
      <c r="D178" s="6" t="str">
        <f>"符灵月"</f>
        <v>符灵月</v>
      </c>
      <c r="E178" s="6" t="str">
        <f>"女"</f>
        <v>女</v>
      </c>
      <c r="F178" s="6" t="str">
        <f t="shared" si="30"/>
        <v>汉族</v>
      </c>
      <c r="G178" s="6" t="str">
        <f>"团员"</f>
        <v>团员</v>
      </c>
      <c r="H178" s="6" t="str">
        <f t="shared" si="29"/>
        <v>本科</v>
      </c>
      <c r="I178" s="6" t="str">
        <f>"行政管理"</f>
        <v>行政管理</v>
      </c>
    </row>
    <row r="179" s="2" customFormat="1" ht="20" customHeight="1" spans="1:9">
      <c r="A179" s="6">
        <v>177</v>
      </c>
      <c r="B179" s="6" t="str">
        <f>"220720191126093324213136"</f>
        <v>220720191126093324213136</v>
      </c>
      <c r="C179" s="6" t="s">
        <v>15</v>
      </c>
      <c r="D179" s="6" t="str">
        <f>"麦秋翠"</f>
        <v>麦秋翠</v>
      </c>
      <c r="E179" s="6" t="str">
        <f>"女"</f>
        <v>女</v>
      </c>
      <c r="F179" s="6" t="str">
        <f t="shared" si="30"/>
        <v>汉族</v>
      </c>
      <c r="G179" s="6" t="str">
        <f>"团员"</f>
        <v>团员</v>
      </c>
      <c r="H179" s="6" t="str">
        <f t="shared" si="29"/>
        <v>本科</v>
      </c>
      <c r="I179" s="6" t="str">
        <f>"行政管理"</f>
        <v>行政管理</v>
      </c>
    </row>
    <row r="180" s="2" customFormat="1" ht="20" customHeight="1" spans="1:9">
      <c r="A180" s="6">
        <v>178</v>
      </c>
      <c r="B180" s="6" t="str">
        <f>"220720191126093345213138"</f>
        <v>220720191126093345213138</v>
      </c>
      <c r="C180" s="6" t="s">
        <v>15</v>
      </c>
      <c r="D180" s="6" t="str">
        <f>"王素欣"</f>
        <v>王素欣</v>
      </c>
      <c r="E180" s="6" t="str">
        <f>"女"</f>
        <v>女</v>
      </c>
      <c r="F180" s="6" t="str">
        <f t="shared" si="30"/>
        <v>汉族</v>
      </c>
      <c r="G180" s="6" t="str">
        <f>"中共党员"</f>
        <v>中共党员</v>
      </c>
      <c r="H180" s="6" t="str">
        <f t="shared" si="29"/>
        <v>本科</v>
      </c>
      <c r="I180" s="6" t="str">
        <f>"人力资源管理"</f>
        <v>人力资源管理</v>
      </c>
    </row>
    <row r="181" s="2" customFormat="1" ht="20" customHeight="1" spans="1:9">
      <c r="A181" s="6">
        <v>179</v>
      </c>
      <c r="B181" s="6" t="str">
        <f>"220720191126094250213186"</f>
        <v>220720191126094250213186</v>
      </c>
      <c r="C181" s="6" t="s">
        <v>15</v>
      </c>
      <c r="D181" s="6" t="str">
        <f>"黄林颖"</f>
        <v>黄林颖</v>
      </c>
      <c r="E181" s="6" t="str">
        <f>"男"</f>
        <v>男</v>
      </c>
      <c r="F181" s="6" t="str">
        <f>"黎族"</f>
        <v>黎族</v>
      </c>
      <c r="G181" s="6" t="str">
        <f>"群众"</f>
        <v>群众</v>
      </c>
      <c r="H181" s="6" t="str">
        <f t="shared" si="29"/>
        <v>本科</v>
      </c>
      <c r="I181" s="6" t="str">
        <f>"行政管理专业"</f>
        <v>行政管理专业</v>
      </c>
    </row>
    <row r="182" s="2" customFormat="1" ht="20" customHeight="1" spans="1:9">
      <c r="A182" s="6">
        <v>180</v>
      </c>
      <c r="B182" s="6" t="str">
        <f>"220720191126095156213221"</f>
        <v>220720191126095156213221</v>
      </c>
      <c r="C182" s="6" t="s">
        <v>15</v>
      </c>
      <c r="D182" s="6" t="str">
        <f>"王丽敏"</f>
        <v>王丽敏</v>
      </c>
      <c r="E182" s="6" t="str">
        <f>"女"</f>
        <v>女</v>
      </c>
      <c r="F182" s="6" t="str">
        <f>"黎族"</f>
        <v>黎族</v>
      </c>
      <c r="G182" s="6" t="str">
        <f>"中共党员"</f>
        <v>中共党员</v>
      </c>
      <c r="H182" s="6" t="str">
        <f t="shared" si="29"/>
        <v>本科</v>
      </c>
      <c r="I182" s="6" t="str">
        <f>"公共事业管理"</f>
        <v>公共事业管理</v>
      </c>
    </row>
    <row r="183" s="2" customFormat="1" ht="20" customHeight="1" spans="1:9">
      <c r="A183" s="6">
        <v>181</v>
      </c>
      <c r="B183" s="6" t="str">
        <f>"220720191126100437213275"</f>
        <v>220720191126100437213275</v>
      </c>
      <c r="C183" s="6" t="s">
        <v>15</v>
      </c>
      <c r="D183" s="6" t="str">
        <f>"周波"</f>
        <v>周波</v>
      </c>
      <c r="E183" s="6" t="str">
        <f>"女"</f>
        <v>女</v>
      </c>
      <c r="F183" s="6" t="str">
        <f t="shared" ref="F183:F192" si="31">"汉族"</f>
        <v>汉族</v>
      </c>
      <c r="G183" s="6" t="str">
        <f>"群众"</f>
        <v>群众</v>
      </c>
      <c r="H183" s="6" t="str">
        <f t="shared" si="29"/>
        <v>本科</v>
      </c>
      <c r="I183" s="6" t="str">
        <f>"行政管理"</f>
        <v>行政管理</v>
      </c>
    </row>
    <row r="184" s="2" customFormat="1" ht="20" customHeight="1" spans="1:9">
      <c r="A184" s="6">
        <v>182</v>
      </c>
      <c r="B184" s="6" t="str">
        <f>"220720191126100604213281"</f>
        <v>220720191126100604213281</v>
      </c>
      <c r="C184" s="6" t="s">
        <v>15</v>
      </c>
      <c r="D184" s="6" t="str">
        <f>"吴惠尾"</f>
        <v>吴惠尾</v>
      </c>
      <c r="E184" s="6" t="str">
        <f>"女"</f>
        <v>女</v>
      </c>
      <c r="F184" s="6" t="str">
        <f t="shared" si="31"/>
        <v>汉族</v>
      </c>
      <c r="G184" s="6" t="str">
        <f>"中共党员"</f>
        <v>中共党员</v>
      </c>
      <c r="H184" s="6" t="str">
        <f t="shared" si="29"/>
        <v>本科</v>
      </c>
      <c r="I184" s="6" t="str">
        <f>"公共事业管理"</f>
        <v>公共事业管理</v>
      </c>
    </row>
    <row r="185" s="2" customFormat="1" ht="20" customHeight="1" spans="1:9">
      <c r="A185" s="6">
        <v>183</v>
      </c>
      <c r="B185" s="6" t="str">
        <f>"220720191126104601213432"</f>
        <v>220720191126104601213432</v>
      </c>
      <c r="C185" s="6" t="s">
        <v>15</v>
      </c>
      <c r="D185" s="6" t="str">
        <f>"陆有旭"</f>
        <v>陆有旭</v>
      </c>
      <c r="E185" s="6" t="str">
        <f>"男"</f>
        <v>男</v>
      </c>
      <c r="F185" s="6" t="str">
        <f t="shared" si="31"/>
        <v>汉族</v>
      </c>
      <c r="G185" s="6" t="str">
        <f>"预备党员"</f>
        <v>预备党员</v>
      </c>
      <c r="H185" s="6" t="str">
        <f t="shared" si="29"/>
        <v>本科</v>
      </c>
      <c r="I185" s="6" t="str">
        <f>"行政管理"</f>
        <v>行政管理</v>
      </c>
    </row>
    <row r="186" s="2" customFormat="1" ht="20" customHeight="1" spans="1:9">
      <c r="A186" s="6">
        <v>184</v>
      </c>
      <c r="B186" s="6" t="str">
        <f>"220720191126110137213478"</f>
        <v>220720191126110137213478</v>
      </c>
      <c r="C186" s="6" t="s">
        <v>15</v>
      </c>
      <c r="D186" s="6" t="str">
        <f>"吴清羡"</f>
        <v>吴清羡</v>
      </c>
      <c r="E186" s="6" t="str">
        <f>"女"</f>
        <v>女</v>
      </c>
      <c r="F186" s="6" t="str">
        <f t="shared" si="31"/>
        <v>汉族</v>
      </c>
      <c r="G186" s="6" t="str">
        <f>"团员"</f>
        <v>团员</v>
      </c>
      <c r="H186" s="6" t="str">
        <f t="shared" si="29"/>
        <v>本科</v>
      </c>
      <c r="I186" s="6" t="str">
        <f>"公共关系学"</f>
        <v>公共关系学</v>
      </c>
    </row>
    <row r="187" s="2" customFormat="1" ht="20" customHeight="1" spans="1:9">
      <c r="A187" s="6">
        <v>185</v>
      </c>
      <c r="B187" s="6" t="str">
        <f>"220720191126110410213486"</f>
        <v>220720191126110410213486</v>
      </c>
      <c r="C187" s="6" t="s">
        <v>15</v>
      </c>
      <c r="D187" s="6" t="str">
        <f>"文金确"</f>
        <v>文金确</v>
      </c>
      <c r="E187" s="6" t="str">
        <f>"男"</f>
        <v>男</v>
      </c>
      <c r="F187" s="6" t="str">
        <f t="shared" si="31"/>
        <v>汉族</v>
      </c>
      <c r="G187" s="6" t="str">
        <f>"群众"</f>
        <v>群众</v>
      </c>
      <c r="H187" s="6" t="str">
        <f t="shared" si="29"/>
        <v>本科</v>
      </c>
      <c r="I187" s="6" t="str">
        <f>"人力资源管理"</f>
        <v>人力资源管理</v>
      </c>
    </row>
    <row r="188" s="2" customFormat="1" ht="20" customHeight="1" spans="1:9">
      <c r="A188" s="6">
        <v>186</v>
      </c>
      <c r="B188" s="6" t="str">
        <f>"220720191126111104213515"</f>
        <v>220720191126111104213515</v>
      </c>
      <c r="C188" s="6" t="s">
        <v>15</v>
      </c>
      <c r="D188" s="6" t="str">
        <f>"吴霞"</f>
        <v>吴霞</v>
      </c>
      <c r="E188" s="6" t="str">
        <f t="shared" ref="E188:E193" si="32">"女"</f>
        <v>女</v>
      </c>
      <c r="F188" s="6" t="str">
        <f t="shared" si="31"/>
        <v>汉族</v>
      </c>
      <c r="G188" s="6" t="str">
        <f>"群众"</f>
        <v>群众</v>
      </c>
      <c r="H188" s="6" t="str">
        <f t="shared" si="29"/>
        <v>本科</v>
      </c>
      <c r="I188" s="6" t="str">
        <f>"行政管理"</f>
        <v>行政管理</v>
      </c>
    </row>
    <row r="189" s="2" customFormat="1" ht="20" customHeight="1" spans="1:9">
      <c r="A189" s="6">
        <v>187</v>
      </c>
      <c r="B189" s="6" t="str">
        <f>"220720191126111608213528"</f>
        <v>220720191126111608213528</v>
      </c>
      <c r="C189" s="6" t="s">
        <v>15</v>
      </c>
      <c r="D189" s="6" t="str">
        <f>"李雅"</f>
        <v>李雅</v>
      </c>
      <c r="E189" s="6" t="str">
        <f t="shared" si="32"/>
        <v>女</v>
      </c>
      <c r="F189" s="6" t="str">
        <f t="shared" si="31"/>
        <v>汉族</v>
      </c>
      <c r="G189" s="6" t="str">
        <f>"团员"</f>
        <v>团员</v>
      </c>
      <c r="H189" s="6" t="str">
        <f t="shared" si="29"/>
        <v>本科</v>
      </c>
      <c r="I189" s="6" t="str">
        <f>"人力资源管理"</f>
        <v>人力资源管理</v>
      </c>
    </row>
    <row r="190" s="2" customFormat="1" ht="20" customHeight="1" spans="1:9">
      <c r="A190" s="6">
        <v>188</v>
      </c>
      <c r="B190" s="6" t="str">
        <f>"220720191126112300213545"</f>
        <v>220720191126112300213545</v>
      </c>
      <c r="C190" s="6" t="s">
        <v>15</v>
      </c>
      <c r="D190" s="6" t="str">
        <f>"黄茹"</f>
        <v>黄茹</v>
      </c>
      <c r="E190" s="6" t="str">
        <f t="shared" si="32"/>
        <v>女</v>
      </c>
      <c r="F190" s="6" t="str">
        <f t="shared" si="31"/>
        <v>汉族</v>
      </c>
      <c r="G190" s="6" t="str">
        <f>"群众"</f>
        <v>群众</v>
      </c>
      <c r="H190" s="6" t="str">
        <f t="shared" si="29"/>
        <v>本科</v>
      </c>
      <c r="I190" s="6" t="str">
        <f>"行政管理"</f>
        <v>行政管理</v>
      </c>
    </row>
    <row r="191" s="2" customFormat="1" ht="20" customHeight="1" spans="1:9">
      <c r="A191" s="6">
        <v>189</v>
      </c>
      <c r="B191" s="6" t="str">
        <f>"220720191126115136213637"</f>
        <v>220720191126115136213637</v>
      </c>
      <c r="C191" s="6" t="s">
        <v>15</v>
      </c>
      <c r="D191" s="6" t="str">
        <f>"陈增"</f>
        <v>陈增</v>
      </c>
      <c r="E191" s="6" t="str">
        <f t="shared" si="32"/>
        <v>女</v>
      </c>
      <c r="F191" s="6" t="str">
        <f t="shared" si="31"/>
        <v>汉族</v>
      </c>
      <c r="G191" s="6" t="str">
        <f>"中共党员"</f>
        <v>中共党员</v>
      </c>
      <c r="H191" s="6" t="str">
        <f t="shared" si="29"/>
        <v>本科</v>
      </c>
      <c r="I191" s="6" t="str">
        <f>"人力资源管理"</f>
        <v>人力资源管理</v>
      </c>
    </row>
    <row r="192" s="2" customFormat="1" ht="20" customHeight="1" spans="1:9">
      <c r="A192" s="6">
        <v>190</v>
      </c>
      <c r="B192" s="6" t="str">
        <f>"220720191126123926213737"</f>
        <v>220720191126123926213737</v>
      </c>
      <c r="C192" s="6" t="s">
        <v>15</v>
      </c>
      <c r="D192" s="6" t="str">
        <f>"李美玲"</f>
        <v>李美玲</v>
      </c>
      <c r="E192" s="6" t="str">
        <f t="shared" si="32"/>
        <v>女</v>
      </c>
      <c r="F192" s="6" t="str">
        <f t="shared" si="31"/>
        <v>汉族</v>
      </c>
      <c r="G192" s="6" t="str">
        <f>"团员"</f>
        <v>团员</v>
      </c>
      <c r="H192" s="6" t="str">
        <f t="shared" si="29"/>
        <v>本科</v>
      </c>
      <c r="I192" s="6" t="str">
        <f>"人力资源管理"</f>
        <v>人力资源管理</v>
      </c>
    </row>
    <row r="193" s="2" customFormat="1" ht="20" customHeight="1" spans="1:9">
      <c r="A193" s="6">
        <v>191</v>
      </c>
      <c r="B193" s="6" t="str">
        <f>"220720191126140420213892"</f>
        <v>220720191126140420213892</v>
      </c>
      <c r="C193" s="6" t="s">
        <v>15</v>
      </c>
      <c r="D193" s="6" t="str">
        <f>"陈秋怡"</f>
        <v>陈秋怡</v>
      </c>
      <c r="E193" s="6" t="str">
        <f t="shared" si="32"/>
        <v>女</v>
      </c>
      <c r="F193" s="6" t="str">
        <f t="shared" ref="F193:F198" si="33">"汉族"</f>
        <v>汉族</v>
      </c>
      <c r="G193" s="6" t="str">
        <f>"群众"</f>
        <v>群众</v>
      </c>
      <c r="H193" s="6" t="str">
        <f t="shared" si="29"/>
        <v>本科</v>
      </c>
      <c r="I193" s="6" t="str">
        <f>"行政管理"</f>
        <v>行政管理</v>
      </c>
    </row>
    <row r="194" s="2" customFormat="1" ht="20" customHeight="1" spans="1:9">
      <c r="A194" s="6">
        <v>192</v>
      </c>
      <c r="B194" s="6" t="str">
        <f>"220720191126142848213934"</f>
        <v>220720191126142848213934</v>
      </c>
      <c r="C194" s="6" t="s">
        <v>15</v>
      </c>
      <c r="D194" s="6" t="str">
        <f>"范才云"</f>
        <v>范才云</v>
      </c>
      <c r="E194" s="6" t="str">
        <f>"男"</f>
        <v>男</v>
      </c>
      <c r="F194" s="6" t="str">
        <f t="shared" si="33"/>
        <v>汉族</v>
      </c>
      <c r="G194" s="6" t="str">
        <f>"中共党员"</f>
        <v>中共党员</v>
      </c>
      <c r="H194" s="6" t="str">
        <f t="shared" si="29"/>
        <v>本科</v>
      </c>
      <c r="I194" s="6" t="str">
        <f>"公共事业管理（卫生事业管理方向）"</f>
        <v>公共事业管理（卫生事业管理方向）</v>
      </c>
    </row>
    <row r="195" s="2" customFormat="1" ht="20" customHeight="1" spans="1:9">
      <c r="A195" s="6">
        <v>193</v>
      </c>
      <c r="B195" s="6" t="str">
        <f>"220720191126154145214107"</f>
        <v>220720191126154145214107</v>
      </c>
      <c r="C195" s="6" t="s">
        <v>15</v>
      </c>
      <c r="D195" s="6" t="str">
        <f>"王丽花"</f>
        <v>王丽花</v>
      </c>
      <c r="E195" s="6" t="str">
        <f>"女"</f>
        <v>女</v>
      </c>
      <c r="F195" s="6" t="str">
        <f t="shared" si="33"/>
        <v>汉族</v>
      </c>
      <c r="G195" s="6" t="str">
        <f>"群众"</f>
        <v>群众</v>
      </c>
      <c r="H195" s="6" t="str">
        <f t="shared" si="29"/>
        <v>本科</v>
      </c>
      <c r="I195" s="6" t="str">
        <f>"人力资源管理"</f>
        <v>人力资源管理</v>
      </c>
    </row>
    <row r="196" s="2" customFormat="1" ht="20" customHeight="1" spans="1:9">
      <c r="A196" s="6">
        <v>194</v>
      </c>
      <c r="B196" s="6" t="str">
        <f>"220720191126154703214117"</f>
        <v>220720191126154703214117</v>
      </c>
      <c r="C196" s="6" t="s">
        <v>15</v>
      </c>
      <c r="D196" s="6" t="str">
        <f>"王紫"</f>
        <v>王紫</v>
      </c>
      <c r="E196" s="6" t="str">
        <f>"女"</f>
        <v>女</v>
      </c>
      <c r="F196" s="6" t="str">
        <f t="shared" si="33"/>
        <v>汉族</v>
      </c>
      <c r="G196" s="6" t="str">
        <f>"群众"</f>
        <v>群众</v>
      </c>
      <c r="H196" s="6" t="str">
        <f t="shared" si="29"/>
        <v>本科</v>
      </c>
      <c r="I196" s="6" t="str">
        <f>"劳动与社会保障"</f>
        <v>劳动与社会保障</v>
      </c>
    </row>
    <row r="197" s="2" customFormat="1" ht="20" customHeight="1" spans="1:9">
      <c r="A197" s="6">
        <v>195</v>
      </c>
      <c r="B197" s="6" t="str">
        <f>"220720191126164112214262"</f>
        <v>220720191126164112214262</v>
      </c>
      <c r="C197" s="6" t="s">
        <v>15</v>
      </c>
      <c r="D197" s="6" t="str">
        <f>"钟涛"</f>
        <v>钟涛</v>
      </c>
      <c r="E197" s="6" t="str">
        <f>"男"</f>
        <v>男</v>
      </c>
      <c r="F197" s="6" t="str">
        <f t="shared" si="33"/>
        <v>汉族</v>
      </c>
      <c r="G197" s="6" t="str">
        <f>"团员"</f>
        <v>团员</v>
      </c>
      <c r="H197" s="6" t="str">
        <f t="shared" si="29"/>
        <v>本科</v>
      </c>
      <c r="I197" s="6" t="str">
        <f>"人力资源管理"</f>
        <v>人力资源管理</v>
      </c>
    </row>
    <row r="198" s="2" customFormat="1" ht="20" customHeight="1" spans="1:9">
      <c r="A198" s="6">
        <v>196</v>
      </c>
      <c r="B198" s="6" t="str">
        <f>"220720191126170243214305"</f>
        <v>220720191126170243214305</v>
      </c>
      <c r="C198" s="6" t="s">
        <v>15</v>
      </c>
      <c r="D198" s="6" t="str">
        <f>"黄宝姣"</f>
        <v>黄宝姣</v>
      </c>
      <c r="E198" s="6" t="str">
        <f>"女"</f>
        <v>女</v>
      </c>
      <c r="F198" s="6" t="str">
        <f t="shared" si="33"/>
        <v>汉族</v>
      </c>
      <c r="G198" s="6" t="str">
        <f>"群众"</f>
        <v>群众</v>
      </c>
      <c r="H198" s="6" t="str">
        <f t="shared" si="29"/>
        <v>本科</v>
      </c>
      <c r="I198" s="6" t="str">
        <f>"公共关系"</f>
        <v>公共关系</v>
      </c>
    </row>
    <row r="199" s="2" customFormat="1" ht="20" customHeight="1" spans="1:9">
      <c r="A199" s="6">
        <v>197</v>
      </c>
      <c r="B199" s="6" t="str">
        <f>"220720191126172416214347"</f>
        <v>220720191126172416214347</v>
      </c>
      <c r="C199" s="6" t="s">
        <v>15</v>
      </c>
      <c r="D199" s="6" t="str">
        <f>"颜秀娟"</f>
        <v>颜秀娟</v>
      </c>
      <c r="E199" s="6" t="str">
        <f>"女"</f>
        <v>女</v>
      </c>
      <c r="F199" s="6" t="str">
        <f>"黎族"</f>
        <v>黎族</v>
      </c>
      <c r="G199" s="6" t="str">
        <f>"团员"</f>
        <v>团员</v>
      </c>
      <c r="H199" s="6" t="str">
        <f t="shared" si="29"/>
        <v>本科</v>
      </c>
      <c r="I199" s="6" t="str">
        <f>"劳动与社会保障（医疗保险方向）"</f>
        <v>劳动与社会保障（医疗保险方向）</v>
      </c>
    </row>
    <row r="200" s="2" customFormat="1" ht="20" customHeight="1" spans="1:9">
      <c r="A200" s="6">
        <v>198</v>
      </c>
      <c r="B200" s="6" t="str">
        <f>"220720191126201313214632"</f>
        <v>220720191126201313214632</v>
      </c>
      <c r="C200" s="6" t="s">
        <v>15</v>
      </c>
      <c r="D200" s="6" t="str">
        <f>"谢慧慧"</f>
        <v>谢慧慧</v>
      </c>
      <c r="E200" s="6" t="str">
        <f>"女"</f>
        <v>女</v>
      </c>
      <c r="F200" s="6" t="str">
        <f t="shared" ref="F200:F210" si="34">"汉族"</f>
        <v>汉族</v>
      </c>
      <c r="G200" s="6" t="str">
        <f>"团员"</f>
        <v>团员</v>
      </c>
      <c r="H200" s="6" t="str">
        <f t="shared" si="29"/>
        <v>本科</v>
      </c>
      <c r="I200" s="6" t="str">
        <f>"行政管理"</f>
        <v>行政管理</v>
      </c>
    </row>
    <row r="201" s="2" customFormat="1" ht="20" customHeight="1" spans="1:9">
      <c r="A201" s="6">
        <v>199</v>
      </c>
      <c r="B201" s="6" t="str">
        <f>"220720191126201624214637"</f>
        <v>220720191126201624214637</v>
      </c>
      <c r="C201" s="6" t="s">
        <v>15</v>
      </c>
      <c r="D201" s="6" t="str">
        <f>"郭育玮"</f>
        <v>郭育玮</v>
      </c>
      <c r="E201" s="6" t="str">
        <f>"男"</f>
        <v>男</v>
      </c>
      <c r="F201" s="6" t="str">
        <f t="shared" si="34"/>
        <v>汉族</v>
      </c>
      <c r="G201" s="6" t="str">
        <f>"团员"</f>
        <v>团员</v>
      </c>
      <c r="H201" s="6" t="str">
        <f t="shared" si="29"/>
        <v>本科</v>
      </c>
      <c r="I201" s="6" t="str">
        <f>"行政管理"</f>
        <v>行政管理</v>
      </c>
    </row>
    <row r="202" s="2" customFormat="1" ht="20" customHeight="1" spans="1:9">
      <c r="A202" s="6">
        <v>200</v>
      </c>
      <c r="B202" s="6" t="str">
        <f>"220720191126202418214651"</f>
        <v>220720191126202418214651</v>
      </c>
      <c r="C202" s="6" t="s">
        <v>15</v>
      </c>
      <c r="D202" s="6" t="str">
        <f>"李铭栋"</f>
        <v>李铭栋</v>
      </c>
      <c r="E202" s="6" t="str">
        <f>"男"</f>
        <v>男</v>
      </c>
      <c r="F202" s="6" t="str">
        <f t="shared" si="34"/>
        <v>汉族</v>
      </c>
      <c r="G202" s="6" t="str">
        <f>"群众"</f>
        <v>群众</v>
      </c>
      <c r="H202" s="6" t="str">
        <f t="shared" si="29"/>
        <v>本科</v>
      </c>
      <c r="I202" s="6" t="str">
        <f>"会展经济与管理"</f>
        <v>会展经济与管理</v>
      </c>
    </row>
    <row r="203" s="2" customFormat="1" ht="20" customHeight="1" spans="1:9">
      <c r="A203" s="6">
        <v>201</v>
      </c>
      <c r="B203" s="6" t="str">
        <f>"220720191126205235214709"</f>
        <v>220720191126205235214709</v>
      </c>
      <c r="C203" s="6" t="s">
        <v>15</v>
      </c>
      <c r="D203" s="6" t="str">
        <f>"王娱"</f>
        <v>王娱</v>
      </c>
      <c r="E203" s="6" t="str">
        <f t="shared" ref="E203:E210" si="35">"女"</f>
        <v>女</v>
      </c>
      <c r="F203" s="6" t="str">
        <f t="shared" si="34"/>
        <v>汉族</v>
      </c>
      <c r="G203" s="6" t="str">
        <f>"团员"</f>
        <v>团员</v>
      </c>
      <c r="H203" s="6" t="str">
        <f t="shared" si="29"/>
        <v>本科</v>
      </c>
      <c r="I203" s="6" t="str">
        <f>"人力资源管理"</f>
        <v>人力资源管理</v>
      </c>
    </row>
    <row r="204" s="2" customFormat="1" ht="20" customHeight="1" spans="1:9">
      <c r="A204" s="6">
        <v>202</v>
      </c>
      <c r="B204" s="6" t="str">
        <f>"220720191126223550214889"</f>
        <v>220720191126223550214889</v>
      </c>
      <c r="C204" s="6" t="s">
        <v>15</v>
      </c>
      <c r="D204" s="6" t="str">
        <f>"杜彩虹"</f>
        <v>杜彩虹</v>
      </c>
      <c r="E204" s="6" t="str">
        <f t="shared" si="35"/>
        <v>女</v>
      </c>
      <c r="F204" s="6" t="str">
        <f t="shared" si="34"/>
        <v>汉族</v>
      </c>
      <c r="G204" s="6" t="str">
        <f>"团员"</f>
        <v>团员</v>
      </c>
      <c r="H204" s="6" t="str">
        <f t="shared" si="29"/>
        <v>本科</v>
      </c>
      <c r="I204" s="6" t="str">
        <f>"人力资源管理"</f>
        <v>人力资源管理</v>
      </c>
    </row>
    <row r="205" s="2" customFormat="1" ht="20" customHeight="1" spans="1:9">
      <c r="A205" s="6">
        <v>203</v>
      </c>
      <c r="B205" s="6" t="str">
        <f>"220720191127090709215071"</f>
        <v>220720191127090709215071</v>
      </c>
      <c r="C205" s="6" t="s">
        <v>15</v>
      </c>
      <c r="D205" s="6" t="str">
        <f>"胡珍旎"</f>
        <v>胡珍旎</v>
      </c>
      <c r="E205" s="6" t="str">
        <f t="shared" si="35"/>
        <v>女</v>
      </c>
      <c r="F205" s="6" t="str">
        <f t="shared" si="34"/>
        <v>汉族</v>
      </c>
      <c r="G205" s="6" t="str">
        <f>"团员"</f>
        <v>团员</v>
      </c>
      <c r="H205" s="6" t="str">
        <f t="shared" si="29"/>
        <v>本科</v>
      </c>
      <c r="I205" s="6" t="str">
        <f>"公共事业管理"</f>
        <v>公共事业管理</v>
      </c>
    </row>
    <row r="206" s="2" customFormat="1" ht="20" customHeight="1" spans="1:9">
      <c r="A206" s="6">
        <v>204</v>
      </c>
      <c r="B206" s="6" t="str">
        <f>"220720191127102545215207"</f>
        <v>220720191127102545215207</v>
      </c>
      <c r="C206" s="6" t="s">
        <v>15</v>
      </c>
      <c r="D206" s="6" t="str">
        <f>"许华燕"</f>
        <v>许华燕</v>
      </c>
      <c r="E206" s="6" t="str">
        <f t="shared" si="35"/>
        <v>女</v>
      </c>
      <c r="F206" s="6" t="str">
        <f t="shared" si="34"/>
        <v>汉族</v>
      </c>
      <c r="G206" s="6" t="str">
        <f>"中共党员"</f>
        <v>中共党员</v>
      </c>
      <c r="H206" s="6" t="str">
        <f t="shared" si="29"/>
        <v>本科</v>
      </c>
      <c r="I206" s="6" t="str">
        <f>"人力资源管理"</f>
        <v>人力资源管理</v>
      </c>
    </row>
    <row r="207" s="2" customFormat="1" ht="20" customHeight="1" spans="1:9">
      <c r="A207" s="6">
        <v>205</v>
      </c>
      <c r="B207" s="6" t="str">
        <f>"220720191127130104215442"</f>
        <v>220720191127130104215442</v>
      </c>
      <c r="C207" s="6" t="s">
        <v>15</v>
      </c>
      <c r="D207" s="6" t="str">
        <f>"柯俊婕"</f>
        <v>柯俊婕</v>
      </c>
      <c r="E207" s="6" t="str">
        <f t="shared" si="35"/>
        <v>女</v>
      </c>
      <c r="F207" s="6" t="str">
        <f t="shared" si="34"/>
        <v>汉族</v>
      </c>
      <c r="G207" s="6" t="str">
        <f>"群众"</f>
        <v>群众</v>
      </c>
      <c r="H207" s="6" t="str">
        <f t="shared" si="29"/>
        <v>本科</v>
      </c>
      <c r="I207" s="6" t="str">
        <f>"行政管理（中英文秘书方向）"</f>
        <v>行政管理（中英文秘书方向）</v>
      </c>
    </row>
    <row r="208" s="2" customFormat="1" ht="20" customHeight="1" spans="1:9">
      <c r="A208" s="6">
        <v>206</v>
      </c>
      <c r="B208" s="6" t="str">
        <f>"220720191127130530215450"</f>
        <v>220720191127130530215450</v>
      </c>
      <c r="C208" s="6" t="s">
        <v>15</v>
      </c>
      <c r="D208" s="6" t="str">
        <f>"赵丰懿"</f>
        <v>赵丰懿</v>
      </c>
      <c r="E208" s="6" t="str">
        <f t="shared" si="35"/>
        <v>女</v>
      </c>
      <c r="F208" s="6" t="str">
        <f t="shared" si="34"/>
        <v>汉族</v>
      </c>
      <c r="G208" s="6" t="str">
        <f>"团员"</f>
        <v>团员</v>
      </c>
      <c r="H208" s="6" t="str">
        <f t="shared" si="29"/>
        <v>本科</v>
      </c>
      <c r="I208" s="6" t="str">
        <f>"公共事业管理"</f>
        <v>公共事业管理</v>
      </c>
    </row>
    <row r="209" s="2" customFormat="1" ht="20" customHeight="1" spans="1:9">
      <c r="A209" s="6">
        <v>207</v>
      </c>
      <c r="B209" s="6" t="str">
        <f>"220720191127132508215475"</f>
        <v>220720191127132508215475</v>
      </c>
      <c r="C209" s="6" t="s">
        <v>15</v>
      </c>
      <c r="D209" s="6" t="str">
        <f>"杨静雯"</f>
        <v>杨静雯</v>
      </c>
      <c r="E209" s="6" t="str">
        <f t="shared" si="35"/>
        <v>女</v>
      </c>
      <c r="F209" s="6" t="str">
        <f t="shared" si="34"/>
        <v>汉族</v>
      </c>
      <c r="G209" s="6" t="str">
        <f>"群众"</f>
        <v>群众</v>
      </c>
      <c r="H209" s="6" t="str">
        <f t="shared" si="29"/>
        <v>本科</v>
      </c>
      <c r="I209" s="6" t="str">
        <f>"公共事业管理"</f>
        <v>公共事业管理</v>
      </c>
    </row>
    <row r="210" s="2" customFormat="1" ht="20" customHeight="1" spans="1:9">
      <c r="A210" s="6">
        <v>208</v>
      </c>
      <c r="B210" s="6" t="str">
        <f>"220720191127141742215531"</f>
        <v>220720191127141742215531</v>
      </c>
      <c r="C210" s="6" t="s">
        <v>15</v>
      </c>
      <c r="D210" s="6" t="str">
        <f>"李芯铭"</f>
        <v>李芯铭</v>
      </c>
      <c r="E210" s="6" t="str">
        <f t="shared" si="35"/>
        <v>女</v>
      </c>
      <c r="F210" s="6" t="str">
        <f t="shared" si="34"/>
        <v>汉族</v>
      </c>
      <c r="G210" s="6" t="str">
        <f>"群众"</f>
        <v>群众</v>
      </c>
      <c r="H210" s="6" t="str">
        <f t="shared" si="29"/>
        <v>本科</v>
      </c>
      <c r="I210" s="6" t="str">
        <f>"行政管理"</f>
        <v>行政管理</v>
      </c>
    </row>
    <row r="211" s="2" customFormat="1" ht="20" customHeight="1" spans="1:9">
      <c r="A211" s="6">
        <v>209</v>
      </c>
      <c r="B211" s="6" t="str">
        <f>"220720191127200403216006"</f>
        <v>220720191127200403216006</v>
      </c>
      <c r="C211" s="6" t="s">
        <v>15</v>
      </c>
      <c r="D211" s="6" t="str">
        <f>"王炬登"</f>
        <v>王炬登</v>
      </c>
      <c r="E211" s="6" t="str">
        <f>"男"</f>
        <v>男</v>
      </c>
      <c r="F211" s="6" t="str">
        <f>"黎族"</f>
        <v>黎族</v>
      </c>
      <c r="G211" s="6" t="str">
        <f>"群众"</f>
        <v>群众</v>
      </c>
      <c r="H211" s="6" t="str">
        <f t="shared" si="29"/>
        <v>本科</v>
      </c>
      <c r="I211" s="6" t="str">
        <f>"行政管理专业"</f>
        <v>行政管理专业</v>
      </c>
    </row>
    <row r="212" s="2" customFormat="1" ht="20" customHeight="1" spans="1:9">
      <c r="A212" s="6">
        <v>210</v>
      </c>
      <c r="B212" s="6" t="str">
        <f>"220720191127204447216072"</f>
        <v>220720191127204447216072</v>
      </c>
      <c r="C212" s="6" t="s">
        <v>15</v>
      </c>
      <c r="D212" s="6" t="str">
        <f>"邓美珍"</f>
        <v>邓美珍</v>
      </c>
      <c r="E212" s="6" t="str">
        <f>"女"</f>
        <v>女</v>
      </c>
      <c r="F212" s="6" t="str">
        <f t="shared" ref="F212:F221" si="36">"汉族"</f>
        <v>汉族</v>
      </c>
      <c r="G212" s="6" t="str">
        <f>"团员"</f>
        <v>团员</v>
      </c>
      <c r="H212" s="6" t="str">
        <f t="shared" si="29"/>
        <v>本科</v>
      </c>
      <c r="I212" s="6" t="str">
        <f>"文化产业管理"</f>
        <v>文化产业管理</v>
      </c>
    </row>
    <row r="213" s="2" customFormat="1" ht="20" customHeight="1" spans="1:9">
      <c r="A213" s="6">
        <v>211</v>
      </c>
      <c r="B213" s="6" t="str">
        <f>"220720191127233556216258"</f>
        <v>220720191127233556216258</v>
      </c>
      <c r="C213" s="6" t="s">
        <v>15</v>
      </c>
      <c r="D213" s="6" t="str">
        <f>"罗宗巧"</f>
        <v>罗宗巧</v>
      </c>
      <c r="E213" s="6" t="str">
        <f>"女"</f>
        <v>女</v>
      </c>
      <c r="F213" s="6" t="str">
        <f t="shared" si="36"/>
        <v>汉族</v>
      </c>
      <c r="G213" s="6" t="str">
        <f>"中共党员"</f>
        <v>中共党员</v>
      </c>
      <c r="H213" s="6" t="str">
        <f t="shared" si="29"/>
        <v>本科</v>
      </c>
      <c r="I213" s="6" t="str">
        <f>"公共事业管理（卫生事业管理方向）"</f>
        <v>公共事业管理（卫生事业管理方向）</v>
      </c>
    </row>
    <row r="214" s="2" customFormat="1" ht="20" customHeight="1" spans="1:9">
      <c r="A214" s="6">
        <v>212</v>
      </c>
      <c r="B214" s="6" t="str">
        <f>"220720191128010142216282"</f>
        <v>220720191128010142216282</v>
      </c>
      <c r="C214" s="6" t="s">
        <v>15</v>
      </c>
      <c r="D214" s="6" t="str">
        <f>"郑敬翔"</f>
        <v>郑敬翔</v>
      </c>
      <c r="E214" s="6" t="str">
        <f>"男"</f>
        <v>男</v>
      </c>
      <c r="F214" s="6" t="str">
        <f t="shared" si="36"/>
        <v>汉族</v>
      </c>
      <c r="G214" s="6" t="str">
        <f>"群众"</f>
        <v>群众</v>
      </c>
      <c r="H214" s="6" t="str">
        <f t="shared" si="29"/>
        <v>本科</v>
      </c>
      <c r="I214" s="6" t="str">
        <f>"公共事业管理"</f>
        <v>公共事业管理</v>
      </c>
    </row>
    <row r="215" s="2" customFormat="1" ht="20" customHeight="1" spans="1:9">
      <c r="A215" s="6">
        <v>213</v>
      </c>
      <c r="B215" s="6" t="str">
        <f>"220720191128093110216383"</f>
        <v>220720191128093110216383</v>
      </c>
      <c r="C215" s="6" t="s">
        <v>15</v>
      </c>
      <c r="D215" s="6" t="str">
        <f>"陈蕾茹"</f>
        <v>陈蕾茹</v>
      </c>
      <c r="E215" s="6" t="str">
        <f>"女"</f>
        <v>女</v>
      </c>
      <c r="F215" s="6" t="str">
        <f t="shared" si="36"/>
        <v>汉族</v>
      </c>
      <c r="G215" s="6" t="str">
        <f>"中共党员"</f>
        <v>中共党员</v>
      </c>
      <c r="H215" s="6" t="str">
        <f t="shared" si="29"/>
        <v>本科</v>
      </c>
      <c r="I215" s="6" t="str">
        <f>"人力资源管理"</f>
        <v>人力资源管理</v>
      </c>
    </row>
    <row r="216" s="2" customFormat="1" ht="20" customHeight="1" spans="1:9">
      <c r="A216" s="6">
        <v>214</v>
      </c>
      <c r="B216" s="6" t="str">
        <f>"220720191128101547216454"</f>
        <v>220720191128101547216454</v>
      </c>
      <c r="C216" s="6" t="s">
        <v>15</v>
      </c>
      <c r="D216" s="6" t="str">
        <f>"赵剑淮"</f>
        <v>赵剑淮</v>
      </c>
      <c r="E216" s="6" t="str">
        <f>"男"</f>
        <v>男</v>
      </c>
      <c r="F216" s="6" t="str">
        <f t="shared" si="36"/>
        <v>汉族</v>
      </c>
      <c r="G216" s="6" t="str">
        <f>"群众"</f>
        <v>群众</v>
      </c>
      <c r="H216" s="6" t="str">
        <f t="shared" si="29"/>
        <v>本科</v>
      </c>
      <c r="I216" s="6" t="str">
        <f>"人力资源管理专业"</f>
        <v>人力资源管理专业</v>
      </c>
    </row>
    <row r="217" s="2" customFormat="1" ht="20" customHeight="1" spans="1:9">
      <c r="A217" s="6">
        <v>215</v>
      </c>
      <c r="B217" s="6" t="str">
        <f>"220720191128111229216534"</f>
        <v>220720191128111229216534</v>
      </c>
      <c r="C217" s="6" t="s">
        <v>15</v>
      </c>
      <c r="D217" s="6" t="str">
        <f>"陈奕丹"</f>
        <v>陈奕丹</v>
      </c>
      <c r="E217" s="6" t="str">
        <f>"女"</f>
        <v>女</v>
      </c>
      <c r="F217" s="6" t="str">
        <f t="shared" si="36"/>
        <v>汉族</v>
      </c>
      <c r="G217" s="6" t="str">
        <f>"团员"</f>
        <v>团员</v>
      </c>
      <c r="H217" s="6" t="str">
        <f t="shared" si="29"/>
        <v>本科</v>
      </c>
      <c r="I217" s="6" t="str">
        <f>"人力资源管理"</f>
        <v>人力资源管理</v>
      </c>
    </row>
    <row r="218" s="2" customFormat="1" ht="20" customHeight="1" spans="1:9">
      <c r="A218" s="6">
        <v>216</v>
      </c>
      <c r="B218" s="6" t="str">
        <f>"220720191128112356216553"</f>
        <v>220720191128112356216553</v>
      </c>
      <c r="C218" s="6" t="s">
        <v>15</v>
      </c>
      <c r="D218" s="6" t="str">
        <f>"陈明诗"</f>
        <v>陈明诗</v>
      </c>
      <c r="E218" s="6" t="str">
        <f>"男"</f>
        <v>男</v>
      </c>
      <c r="F218" s="6" t="str">
        <f t="shared" si="36"/>
        <v>汉族</v>
      </c>
      <c r="G218" s="6" t="str">
        <f>"群众"</f>
        <v>群众</v>
      </c>
      <c r="H218" s="6" t="str">
        <f t="shared" si="29"/>
        <v>本科</v>
      </c>
      <c r="I218" s="6" t="str">
        <f>"劳动与社会保障专业"</f>
        <v>劳动与社会保障专业</v>
      </c>
    </row>
    <row r="219" s="2" customFormat="1" ht="20" customHeight="1" spans="1:9">
      <c r="A219" s="6">
        <v>217</v>
      </c>
      <c r="B219" s="6" t="str">
        <f>"220720191128191855217088"</f>
        <v>220720191128191855217088</v>
      </c>
      <c r="C219" s="6" t="s">
        <v>15</v>
      </c>
      <c r="D219" s="6" t="str">
        <f>"张秋菊"</f>
        <v>张秋菊</v>
      </c>
      <c r="E219" s="6" t="str">
        <f>"女"</f>
        <v>女</v>
      </c>
      <c r="F219" s="6" t="str">
        <f t="shared" si="36"/>
        <v>汉族</v>
      </c>
      <c r="G219" s="6" t="str">
        <f>"中共党员"</f>
        <v>中共党员</v>
      </c>
      <c r="H219" s="6" t="str">
        <f t="shared" si="29"/>
        <v>本科</v>
      </c>
      <c r="I219" s="6" t="str">
        <f>"行政管理(中英文秘书方向）"</f>
        <v>行政管理(中英文秘书方向）</v>
      </c>
    </row>
    <row r="220" s="2" customFormat="1" ht="20" customHeight="1" spans="1:9">
      <c r="A220" s="6">
        <v>218</v>
      </c>
      <c r="B220" s="6" t="str">
        <f>"220720191128225439217258"</f>
        <v>220720191128225439217258</v>
      </c>
      <c r="C220" s="6" t="s">
        <v>15</v>
      </c>
      <c r="D220" s="6" t="str">
        <f>"冯琼韬"</f>
        <v>冯琼韬</v>
      </c>
      <c r="E220" s="6" t="str">
        <f>"男"</f>
        <v>男</v>
      </c>
      <c r="F220" s="6" t="str">
        <f t="shared" si="36"/>
        <v>汉族</v>
      </c>
      <c r="G220" s="6" t="str">
        <f>"群众"</f>
        <v>群众</v>
      </c>
      <c r="H220" s="6" t="str">
        <f t="shared" si="29"/>
        <v>本科</v>
      </c>
      <c r="I220" s="6" t="str">
        <f>"公共事业管理"</f>
        <v>公共事业管理</v>
      </c>
    </row>
    <row r="221" s="2" customFormat="1" ht="20" customHeight="1" spans="1:9">
      <c r="A221" s="6">
        <v>219</v>
      </c>
      <c r="B221" s="6" t="str">
        <f>"220720191129092330217356"</f>
        <v>220720191129092330217356</v>
      </c>
      <c r="C221" s="6" t="s">
        <v>15</v>
      </c>
      <c r="D221" s="6" t="str">
        <f>"吴丹丹"</f>
        <v>吴丹丹</v>
      </c>
      <c r="E221" s="6" t="str">
        <f>"女"</f>
        <v>女</v>
      </c>
      <c r="F221" s="6" t="str">
        <f t="shared" si="36"/>
        <v>汉族</v>
      </c>
      <c r="G221" s="6" t="str">
        <f>"团员"</f>
        <v>团员</v>
      </c>
      <c r="H221" s="6" t="str">
        <f t="shared" si="29"/>
        <v>本科</v>
      </c>
      <c r="I221" s="6" t="str">
        <f>"劳动与社会保障"</f>
        <v>劳动与社会保障</v>
      </c>
    </row>
    <row r="222" s="2" customFormat="1" ht="20" customHeight="1" spans="1:9">
      <c r="A222" s="6">
        <v>220</v>
      </c>
      <c r="B222" s="6" t="str">
        <f>"220720191129101831217374"</f>
        <v>220720191129101831217374</v>
      </c>
      <c r="C222" s="6" t="s">
        <v>15</v>
      </c>
      <c r="D222" s="6" t="str">
        <f>"王路遥"</f>
        <v>王路遥</v>
      </c>
      <c r="E222" s="6" t="str">
        <f>"女"</f>
        <v>女</v>
      </c>
      <c r="F222" s="6" t="str">
        <f t="shared" ref="F222:F231" si="37">"汉族"</f>
        <v>汉族</v>
      </c>
      <c r="G222" s="6" t="str">
        <f>"群众"</f>
        <v>群众</v>
      </c>
      <c r="H222" s="6" t="str">
        <f t="shared" si="29"/>
        <v>本科</v>
      </c>
      <c r="I222" s="6" t="str">
        <f>"公共事业管理（城市社区管理与服务）"</f>
        <v>公共事业管理（城市社区管理与服务）</v>
      </c>
    </row>
    <row r="223" s="2" customFormat="1" ht="20" customHeight="1" spans="1:9">
      <c r="A223" s="6">
        <v>221</v>
      </c>
      <c r="B223" s="6" t="str">
        <f>"220720191129102345217404"</f>
        <v>220720191129102345217404</v>
      </c>
      <c r="C223" s="6" t="s">
        <v>15</v>
      </c>
      <c r="D223" s="6" t="str">
        <f>"张日丰"</f>
        <v>张日丰</v>
      </c>
      <c r="E223" s="6" t="str">
        <f>"男"</f>
        <v>男</v>
      </c>
      <c r="F223" s="6" t="str">
        <f t="shared" si="37"/>
        <v>汉族</v>
      </c>
      <c r="G223" s="6" t="str">
        <f>"团员"</f>
        <v>团员</v>
      </c>
      <c r="H223" s="6" t="str">
        <f t="shared" si="29"/>
        <v>本科</v>
      </c>
      <c r="I223" s="6" t="str">
        <f>"公共事业管理"</f>
        <v>公共事业管理</v>
      </c>
    </row>
    <row r="224" s="2" customFormat="1" ht="20" customHeight="1" spans="1:9">
      <c r="A224" s="6">
        <v>222</v>
      </c>
      <c r="B224" s="6" t="str">
        <f>"220720191129111644217451"</f>
        <v>220720191129111644217451</v>
      </c>
      <c r="C224" s="6" t="s">
        <v>15</v>
      </c>
      <c r="D224" s="6" t="str">
        <f>"吴幸森"</f>
        <v>吴幸森</v>
      </c>
      <c r="E224" s="6" t="str">
        <f>"男"</f>
        <v>男</v>
      </c>
      <c r="F224" s="6" t="str">
        <f t="shared" si="37"/>
        <v>汉族</v>
      </c>
      <c r="G224" s="6" t="str">
        <f>"群众"</f>
        <v>群众</v>
      </c>
      <c r="H224" s="6" t="str">
        <f t="shared" si="29"/>
        <v>本科</v>
      </c>
      <c r="I224" s="6" t="str">
        <f>"人力资源管理"</f>
        <v>人力资源管理</v>
      </c>
    </row>
    <row r="225" s="2" customFormat="1" ht="20" customHeight="1" spans="1:9">
      <c r="A225" s="6">
        <v>223</v>
      </c>
      <c r="B225" s="6" t="str">
        <f>"220720191129112102217455"</f>
        <v>220720191129112102217455</v>
      </c>
      <c r="C225" s="6" t="s">
        <v>15</v>
      </c>
      <c r="D225" s="6" t="str">
        <f>"云雪科"</f>
        <v>云雪科</v>
      </c>
      <c r="E225" s="6" t="str">
        <f>"女"</f>
        <v>女</v>
      </c>
      <c r="F225" s="6" t="str">
        <f t="shared" si="37"/>
        <v>汉族</v>
      </c>
      <c r="G225" s="6" t="str">
        <f>"群众"</f>
        <v>群众</v>
      </c>
      <c r="H225" s="6" t="str">
        <f t="shared" si="29"/>
        <v>本科</v>
      </c>
      <c r="I225" s="6" t="str">
        <f>"人力资源管理"</f>
        <v>人力资源管理</v>
      </c>
    </row>
    <row r="226" s="2" customFormat="1" ht="20" customHeight="1" spans="1:9">
      <c r="A226" s="6">
        <v>224</v>
      </c>
      <c r="B226" s="6" t="str">
        <f>"220720191129133503217538"</f>
        <v>220720191129133503217538</v>
      </c>
      <c r="C226" s="6" t="s">
        <v>15</v>
      </c>
      <c r="D226" s="6" t="str">
        <f>"李欣"</f>
        <v>李欣</v>
      </c>
      <c r="E226" s="6" t="str">
        <f>"男"</f>
        <v>男</v>
      </c>
      <c r="F226" s="6" t="str">
        <f t="shared" si="37"/>
        <v>汉族</v>
      </c>
      <c r="G226" s="6" t="str">
        <f>"群众"</f>
        <v>群众</v>
      </c>
      <c r="H226" s="6" t="str">
        <f t="shared" si="29"/>
        <v>本科</v>
      </c>
      <c r="I226" s="6" t="str">
        <f>"人力资源管理"</f>
        <v>人力资源管理</v>
      </c>
    </row>
    <row r="227" s="2" customFormat="1" ht="20" customHeight="1" spans="1:9">
      <c r="A227" s="6">
        <v>225</v>
      </c>
      <c r="B227" s="6" t="str">
        <f>"220720191129142446215136"</f>
        <v>220720191129142446215136</v>
      </c>
      <c r="C227" s="6" t="s">
        <v>15</v>
      </c>
      <c r="D227" s="6" t="str">
        <f>"严海燕"</f>
        <v>严海燕</v>
      </c>
      <c r="E227" s="6" t="str">
        <f t="shared" ref="E227:E235" si="38">"女"</f>
        <v>女</v>
      </c>
      <c r="F227" s="6" t="str">
        <f t="shared" si="37"/>
        <v>汉族</v>
      </c>
      <c r="G227" s="6" t="str">
        <f>"团员"</f>
        <v>团员</v>
      </c>
      <c r="H227" s="6" t="str">
        <f t="shared" si="29"/>
        <v>本科</v>
      </c>
      <c r="I227" s="6" t="str">
        <f>"行政管理"</f>
        <v>行政管理</v>
      </c>
    </row>
    <row r="228" s="2" customFormat="1" ht="20" customHeight="1" spans="1:9">
      <c r="A228" s="6">
        <v>226</v>
      </c>
      <c r="B228" s="6" t="str">
        <f>"220720191129150117213214"</f>
        <v>220720191129150117213214</v>
      </c>
      <c r="C228" s="6" t="s">
        <v>15</v>
      </c>
      <c r="D228" s="6" t="str">
        <f>"陈莹"</f>
        <v>陈莹</v>
      </c>
      <c r="E228" s="6" t="str">
        <f t="shared" si="38"/>
        <v>女</v>
      </c>
      <c r="F228" s="6" t="str">
        <f t="shared" si="37"/>
        <v>汉族</v>
      </c>
      <c r="G228" s="6" t="str">
        <f>"团员"</f>
        <v>团员</v>
      </c>
      <c r="H228" s="6" t="str">
        <f t="shared" ref="H228:H250" si="39">"本科"</f>
        <v>本科</v>
      </c>
      <c r="I228" s="6" t="str">
        <f>"行政管理"</f>
        <v>行政管理</v>
      </c>
    </row>
    <row r="229" s="2" customFormat="1" ht="20" customHeight="1" spans="1:9">
      <c r="A229" s="6">
        <v>227</v>
      </c>
      <c r="B229" s="6" t="str">
        <f>"220720191129150211217583"</f>
        <v>220720191129150211217583</v>
      </c>
      <c r="C229" s="6" t="s">
        <v>15</v>
      </c>
      <c r="D229" s="6" t="str">
        <f>"钟子涵"</f>
        <v>钟子涵</v>
      </c>
      <c r="E229" s="6" t="str">
        <f t="shared" si="38"/>
        <v>女</v>
      </c>
      <c r="F229" s="6" t="str">
        <f t="shared" si="37"/>
        <v>汉族</v>
      </c>
      <c r="G229" s="6" t="str">
        <f>"预备党员"</f>
        <v>预备党员</v>
      </c>
      <c r="H229" s="6" t="str">
        <f t="shared" si="39"/>
        <v>本科</v>
      </c>
      <c r="I229" s="6" t="str">
        <f>"公共事业管理"</f>
        <v>公共事业管理</v>
      </c>
    </row>
    <row r="230" s="2" customFormat="1" ht="20" customHeight="1" spans="1:9">
      <c r="A230" s="6">
        <v>228</v>
      </c>
      <c r="B230" s="6" t="str">
        <f>"220720191129170838217687"</f>
        <v>220720191129170838217687</v>
      </c>
      <c r="C230" s="6" t="s">
        <v>15</v>
      </c>
      <c r="D230" s="6" t="str">
        <f>"陈娜"</f>
        <v>陈娜</v>
      </c>
      <c r="E230" s="6" t="str">
        <f t="shared" si="38"/>
        <v>女</v>
      </c>
      <c r="F230" s="6" t="str">
        <f t="shared" si="37"/>
        <v>汉族</v>
      </c>
      <c r="G230" s="6" t="str">
        <f>"群众"</f>
        <v>群众</v>
      </c>
      <c r="H230" s="6" t="str">
        <f t="shared" si="39"/>
        <v>本科</v>
      </c>
      <c r="I230" s="6" t="str">
        <f>"公共事业管理（医保方向）"</f>
        <v>公共事业管理（医保方向）</v>
      </c>
    </row>
    <row r="231" s="2" customFormat="1" ht="20" customHeight="1" spans="1:9">
      <c r="A231" s="6">
        <v>229</v>
      </c>
      <c r="B231" s="6" t="str">
        <f>"220720191129180301217726"</f>
        <v>220720191129180301217726</v>
      </c>
      <c r="C231" s="6" t="s">
        <v>15</v>
      </c>
      <c r="D231" s="6" t="str">
        <f>"许丽容"</f>
        <v>许丽容</v>
      </c>
      <c r="E231" s="6" t="str">
        <f t="shared" si="38"/>
        <v>女</v>
      </c>
      <c r="F231" s="6" t="str">
        <f t="shared" si="37"/>
        <v>汉族</v>
      </c>
      <c r="G231" s="6" t="str">
        <f>"团员"</f>
        <v>团员</v>
      </c>
      <c r="H231" s="6" t="str">
        <f t="shared" si="39"/>
        <v>本科</v>
      </c>
      <c r="I231" s="6" t="str">
        <f>"人力资源管理"</f>
        <v>人力资源管理</v>
      </c>
    </row>
    <row r="232" s="2" customFormat="1" ht="20" customHeight="1" spans="1:9">
      <c r="A232" s="6">
        <v>230</v>
      </c>
      <c r="B232" s="6" t="str">
        <f>"220720191129223336217856"</f>
        <v>220720191129223336217856</v>
      </c>
      <c r="C232" s="6" t="s">
        <v>15</v>
      </c>
      <c r="D232" s="6" t="str">
        <f>"钟海青"</f>
        <v>钟海青</v>
      </c>
      <c r="E232" s="6" t="str">
        <f t="shared" si="38"/>
        <v>女</v>
      </c>
      <c r="F232" s="6" t="str">
        <f t="shared" ref="F232:F241" si="40">"汉族"</f>
        <v>汉族</v>
      </c>
      <c r="G232" s="6" t="str">
        <f>"预备党员"</f>
        <v>预备党员</v>
      </c>
      <c r="H232" s="6" t="str">
        <f t="shared" si="39"/>
        <v>本科</v>
      </c>
      <c r="I232" s="6" t="str">
        <f>"劳动与社会保障专业"</f>
        <v>劳动与社会保障专业</v>
      </c>
    </row>
    <row r="233" s="2" customFormat="1" ht="20" customHeight="1" spans="1:9">
      <c r="A233" s="6">
        <v>231</v>
      </c>
      <c r="B233" s="6" t="str">
        <f>"220720191130011235217897"</f>
        <v>220720191130011235217897</v>
      </c>
      <c r="C233" s="6" t="s">
        <v>15</v>
      </c>
      <c r="D233" s="6" t="str">
        <f>"施国芸"</f>
        <v>施国芸</v>
      </c>
      <c r="E233" s="6" t="str">
        <f t="shared" si="38"/>
        <v>女</v>
      </c>
      <c r="F233" s="6" t="str">
        <f t="shared" si="40"/>
        <v>汉族</v>
      </c>
      <c r="G233" s="6" t="str">
        <f>"中共党员"</f>
        <v>中共党员</v>
      </c>
      <c r="H233" s="6" t="str">
        <f t="shared" si="39"/>
        <v>本科</v>
      </c>
      <c r="I233" s="6" t="str">
        <f>"行政管理（中英文秘书方向）"</f>
        <v>行政管理（中英文秘书方向）</v>
      </c>
    </row>
    <row r="234" s="2" customFormat="1" ht="20" customHeight="1" spans="1:9">
      <c r="A234" s="6">
        <v>232</v>
      </c>
      <c r="B234" s="6" t="str">
        <f>"220720191130094010215302"</f>
        <v>220720191130094010215302</v>
      </c>
      <c r="C234" s="6" t="s">
        <v>15</v>
      </c>
      <c r="D234" s="6" t="str">
        <f>"邢孔佼"</f>
        <v>邢孔佼</v>
      </c>
      <c r="E234" s="6" t="str">
        <f t="shared" si="38"/>
        <v>女</v>
      </c>
      <c r="F234" s="6" t="str">
        <f t="shared" si="40"/>
        <v>汉族</v>
      </c>
      <c r="G234" s="6" t="str">
        <f>"中共党员"</f>
        <v>中共党员</v>
      </c>
      <c r="H234" s="6" t="str">
        <f t="shared" si="39"/>
        <v>本科</v>
      </c>
      <c r="I234" s="6" t="str">
        <f>"劳动与社会保障"</f>
        <v>劳动与社会保障</v>
      </c>
    </row>
    <row r="235" s="2" customFormat="1" ht="20" customHeight="1" spans="1:9">
      <c r="A235" s="6">
        <v>233</v>
      </c>
      <c r="B235" s="6" t="str">
        <f>"220720191130105029217977"</f>
        <v>220720191130105029217977</v>
      </c>
      <c r="C235" s="6" t="s">
        <v>15</v>
      </c>
      <c r="D235" s="6" t="str">
        <f>"李文雪"</f>
        <v>李文雪</v>
      </c>
      <c r="E235" s="6" t="str">
        <f t="shared" si="38"/>
        <v>女</v>
      </c>
      <c r="F235" s="6" t="str">
        <f t="shared" si="40"/>
        <v>汉族</v>
      </c>
      <c r="G235" s="6" t="str">
        <f>"群众"</f>
        <v>群众</v>
      </c>
      <c r="H235" s="6" t="str">
        <f t="shared" si="39"/>
        <v>本科</v>
      </c>
      <c r="I235" s="6" t="str">
        <f>"人力资源管理"</f>
        <v>人力资源管理</v>
      </c>
    </row>
    <row r="236" s="2" customFormat="1" ht="20" customHeight="1" spans="1:9">
      <c r="A236" s="6">
        <v>234</v>
      </c>
      <c r="B236" s="6" t="str">
        <f>"220720191130225821218259"</f>
        <v>220720191130225821218259</v>
      </c>
      <c r="C236" s="6" t="s">
        <v>15</v>
      </c>
      <c r="D236" s="6" t="str">
        <f>"唐阳"</f>
        <v>唐阳</v>
      </c>
      <c r="E236" s="6" t="str">
        <f>"男"</f>
        <v>男</v>
      </c>
      <c r="F236" s="6" t="str">
        <f t="shared" si="40"/>
        <v>汉族</v>
      </c>
      <c r="G236" s="6" t="str">
        <f>"中共党员"</f>
        <v>中共党员</v>
      </c>
      <c r="H236" s="6" t="str">
        <f t="shared" si="39"/>
        <v>本科</v>
      </c>
      <c r="I236" s="6" t="str">
        <f>"行政管理（行政文秘方向）"</f>
        <v>行政管理（行政文秘方向）</v>
      </c>
    </row>
    <row r="237" s="2" customFormat="1" ht="20" customHeight="1" spans="1:9">
      <c r="A237" s="6">
        <v>235</v>
      </c>
      <c r="B237" s="6" t="str">
        <f>"220720191201173518216930"</f>
        <v>220720191201173518216930</v>
      </c>
      <c r="C237" s="6" t="s">
        <v>15</v>
      </c>
      <c r="D237" s="6" t="str">
        <f>"蒋子菲"</f>
        <v>蒋子菲</v>
      </c>
      <c r="E237" s="6" t="str">
        <f>"女"</f>
        <v>女</v>
      </c>
      <c r="F237" s="6" t="str">
        <f t="shared" si="40"/>
        <v>汉族</v>
      </c>
      <c r="G237" s="6" t="str">
        <f>"团员"</f>
        <v>团员</v>
      </c>
      <c r="H237" s="6" t="str">
        <f t="shared" si="39"/>
        <v>本科</v>
      </c>
      <c r="I237" s="6" t="str">
        <f>"公共事业管理"</f>
        <v>公共事业管理</v>
      </c>
    </row>
    <row r="238" s="2" customFormat="1" ht="20" customHeight="1" spans="1:9">
      <c r="A238" s="6">
        <v>236</v>
      </c>
      <c r="B238" s="6" t="str">
        <f>"220720191201212026218403"</f>
        <v>220720191201212026218403</v>
      </c>
      <c r="C238" s="6" t="s">
        <v>15</v>
      </c>
      <c r="D238" s="6" t="str">
        <f>"郭帅"</f>
        <v>郭帅</v>
      </c>
      <c r="E238" s="6" t="str">
        <f>"男"</f>
        <v>男</v>
      </c>
      <c r="F238" s="6" t="str">
        <f t="shared" si="40"/>
        <v>汉族</v>
      </c>
      <c r="G238" s="6" t="str">
        <f>"中共党员"</f>
        <v>中共党员</v>
      </c>
      <c r="H238" s="6" t="str">
        <f t="shared" si="39"/>
        <v>本科</v>
      </c>
      <c r="I238" s="6" t="str">
        <f>"行政管理"</f>
        <v>行政管理</v>
      </c>
    </row>
    <row r="239" s="2" customFormat="1" ht="20" customHeight="1" spans="1:9">
      <c r="A239" s="6">
        <v>237</v>
      </c>
      <c r="B239" s="6" t="str">
        <f>"220720191202030144218444"</f>
        <v>220720191202030144218444</v>
      </c>
      <c r="C239" s="6" t="s">
        <v>15</v>
      </c>
      <c r="D239" s="6" t="str">
        <f>"陈元月"</f>
        <v>陈元月</v>
      </c>
      <c r="E239" s="6" t="str">
        <f>"女"</f>
        <v>女</v>
      </c>
      <c r="F239" s="6" t="str">
        <f t="shared" si="40"/>
        <v>汉族</v>
      </c>
      <c r="G239" s="6" t="str">
        <f>"团员"</f>
        <v>团员</v>
      </c>
      <c r="H239" s="6" t="str">
        <f t="shared" si="39"/>
        <v>本科</v>
      </c>
      <c r="I239" s="6" t="str">
        <f>"人力资源管理"</f>
        <v>人力资源管理</v>
      </c>
    </row>
    <row r="240" s="2" customFormat="1" ht="20" customHeight="1" spans="1:9">
      <c r="A240" s="6">
        <v>238</v>
      </c>
      <c r="B240" s="6" t="str">
        <f>"220720191202090116218471"</f>
        <v>220720191202090116218471</v>
      </c>
      <c r="C240" s="6" t="s">
        <v>15</v>
      </c>
      <c r="D240" s="6" t="str">
        <f>"刘志焕"</f>
        <v>刘志焕</v>
      </c>
      <c r="E240" s="6" t="str">
        <f>"男"</f>
        <v>男</v>
      </c>
      <c r="F240" s="6" t="str">
        <f t="shared" si="40"/>
        <v>汉族</v>
      </c>
      <c r="G240" s="6" t="str">
        <f>"群众"</f>
        <v>群众</v>
      </c>
      <c r="H240" s="6" t="str">
        <f t="shared" si="39"/>
        <v>本科</v>
      </c>
      <c r="I240" s="6" t="str">
        <f>"行政管理"</f>
        <v>行政管理</v>
      </c>
    </row>
    <row r="241" s="2" customFormat="1" ht="20" customHeight="1" spans="1:9">
      <c r="A241" s="6">
        <v>239</v>
      </c>
      <c r="B241" s="6" t="str">
        <f>"220720191202093033218504"</f>
        <v>220720191202093033218504</v>
      </c>
      <c r="C241" s="6" t="s">
        <v>15</v>
      </c>
      <c r="D241" s="6" t="str">
        <f>"张彩云"</f>
        <v>张彩云</v>
      </c>
      <c r="E241" s="6" t="str">
        <f t="shared" ref="E241:E246" si="41">"女"</f>
        <v>女</v>
      </c>
      <c r="F241" s="6" t="str">
        <f t="shared" si="40"/>
        <v>汉族</v>
      </c>
      <c r="G241" s="6" t="str">
        <f>"群众"</f>
        <v>群众</v>
      </c>
      <c r="H241" s="6" t="str">
        <f t="shared" si="39"/>
        <v>本科</v>
      </c>
      <c r="I241" s="6" t="str">
        <f>"人力资源管理"</f>
        <v>人力资源管理</v>
      </c>
    </row>
    <row r="242" s="2" customFormat="1" ht="20" customHeight="1" spans="1:9">
      <c r="A242" s="6">
        <v>240</v>
      </c>
      <c r="B242" s="6" t="str">
        <f>"220720191202093901218515"</f>
        <v>220720191202093901218515</v>
      </c>
      <c r="C242" s="6" t="s">
        <v>15</v>
      </c>
      <c r="D242" s="6" t="str">
        <f>"谢以欣"</f>
        <v>谢以欣</v>
      </c>
      <c r="E242" s="6" t="str">
        <f t="shared" si="41"/>
        <v>女</v>
      </c>
      <c r="F242" s="6" t="str">
        <f t="shared" ref="F242:F253" si="42">"汉族"</f>
        <v>汉族</v>
      </c>
      <c r="G242" s="6" t="str">
        <f>"群众"</f>
        <v>群众</v>
      </c>
      <c r="H242" s="6" t="str">
        <f t="shared" si="39"/>
        <v>本科</v>
      </c>
      <c r="I242" s="6" t="str">
        <f>"劳动与社会保障"</f>
        <v>劳动与社会保障</v>
      </c>
    </row>
    <row r="243" s="2" customFormat="1" ht="20" customHeight="1" spans="1:9">
      <c r="A243" s="6">
        <v>241</v>
      </c>
      <c r="B243" s="6" t="str">
        <f>"220720191202104917216049"</f>
        <v>220720191202104917216049</v>
      </c>
      <c r="C243" s="6" t="s">
        <v>15</v>
      </c>
      <c r="D243" s="6" t="str">
        <f>"黄梅英 "</f>
        <v>黄梅英 </v>
      </c>
      <c r="E243" s="6" t="str">
        <f t="shared" si="41"/>
        <v>女</v>
      </c>
      <c r="F243" s="6" t="str">
        <f t="shared" si="42"/>
        <v>汉族</v>
      </c>
      <c r="G243" s="6" t="str">
        <f>"群众"</f>
        <v>群众</v>
      </c>
      <c r="H243" s="6" t="str">
        <f t="shared" si="39"/>
        <v>本科</v>
      </c>
      <c r="I243" s="6" t="str">
        <f>"行政管理"</f>
        <v>行政管理</v>
      </c>
    </row>
    <row r="244" s="2" customFormat="1" ht="20" customHeight="1" spans="1:9">
      <c r="A244" s="6">
        <v>242</v>
      </c>
      <c r="B244" s="6" t="str">
        <f>"220720191202121419218627"</f>
        <v>220720191202121419218627</v>
      </c>
      <c r="C244" s="6" t="s">
        <v>15</v>
      </c>
      <c r="D244" s="6" t="str">
        <f>"韦亚乔"</f>
        <v>韦亚乔</v>
      </c>
      <c r="E244" s="6" t="str">
        <f t="shared" si="41"/>
        <v>女</v>
      </c>
      <c r="F244" s="6" t="str">
        <f t="shared" si="42"/>
        <v>汉族</v>
      </c>
      <c r="G244" s="6" t="str">
        <f>"中共党员"</f>
        <v>中共党员</v>
      </c>
      <c r="H244" s="6" t="str">
        <f t="shared" si="39"/>
        <v>本科</v>
      </c>
      <c r="I244" s="6" t="str">
        <f>"行政管理"</f>
        <v>行政管理</v>
      </c>
    </row>
    <row r="245" s="2" customFormat="1" ht="20" customHeight="1" spans="1:9">
      <c r="A245" s="6">
        <v>243</v>
      </c>
      <c r="B245" s="6" t="str">
        <f>"220720191202140930216355"</f>
        <v>220720191202140930216355</v>
      </c>
      <c r="C245" s="6" t="s">
        <v>15</v>
      </c>
      <c r="D245" s="6" t="str">
        <f>"廖钰"</f>
        <v>廖钰</v>
      </c>
      <c r="E245" s="6" t="str">
        <f t="shared" si="41"/>
        <v>女</v>
      </c>
      <c r="F245" s="6" t="str">
        <f t="shared" si="42"/>
        <v>汉族</v>
      </c>
      <c r="G245" s="6" t="str">
        <f>"群众"</f>
        <v>群众</v>
      </c>
      <c r="H245" s="6" t="str">
        <f t="shared" si="39"/>
        <v>本科</v>
      </c>
      <c r="I245" s="6" t="str">
        <f>"劳动与社会保障"</f>
        <v>劳动与社会保障</v>
      </c>
    </row>
    <row r="246" s="2" customFormat="1" ht="20" customHeight="1" spans="1:9">
      <c r="A246" s="6">
        <v>244</v>
      </c>
      <c r="B246" s="6" t="str">
        <f>"220720191202144956218710"</f>
        <v>220720191202144956218710</v>
      </c>
      <c r="C246" s="6" t="s">
        <v>15</v>
      </c>
      <c r="D246" s="6" t="str">
        <f>"关开燕"</f>
        <v>关开燕</v>
      </c>
      <c r="E246" s="6" t="str">
        <f t="shared" si="41"/>
        <v>女</v>
      </c>
      <c r="F246" s="6" t="str">
        <f t="shared" si="42"/>
        <v>汉族</v>
      </c>
      <c r="G246" s="6" t="str">
        <f>"中共党员"</f>
        <v>中共党员</v>
      </c>
      <c r="H246" s="6" t="str">
        <f t="shared" si="39"/>
        <v>本科</v>
      </c>
      <c r="I246" s="6" t="str">
        <f>"公共事业管理"</f>
        <v>公共事业管理</v>
      </c>
    </row>
    <row r="247" s="2" customFormat="1" ht="20" customHeight="1" spans="1:9">
      <c r="A247" s="6">
        <v>245</v>
      </c>
      <c r="B247" s="6" t="str">
        <f>"220720191202150452218720"</f>
        <v>220720191202150452218720</v>
      </c>
      <c r="C247" s="6" t="s">
        <v>15</v>
      </c>
      <c r="D247" s="6" t="str">
        <f>"黎令土"</f>
        <v>黎令土</v>
      </c>
      <c r="E247" s="6" t="str">
        <f>"男"</f>
        <v>男</v>
      </c>
      <c r="F247" s="6" t="str">
        <f t="shared" si="42"/>
        <v>汉族</v>
      </c>
      <c r="G247" s="6" t="str">
        <f>"团员"</f>
        <v>团员</v>
      </c>
      <c r="H247" s="6" t="str">
        <f t="shared" si="39"/>
        <v>本科</v>
      </c>
      <c r="I247" s="6" t="str">
        <f>"公共事业管理"</f>
        <v>公共事业管理</v>
      </c>
    </row>
    <row r="248" s="2" customFormat="1" ht="20" customHeight="1" spans="1:9">
      <c r="A248" s="6">
        <v>246</v>
      </c>
      <c r="B248" s="6" t="str">
        <f>"220720191202153237218741"</f>
        <v>220720191202153237218741</v>
      </c>
      <c r="C248" s="6" t="s">
        <v>15</v>
      </c>
      <c r="D248" s="6" t="str">
        <f>"陶雅"</f>
        <v>陶雅</v>
      </c>
      <c r="E248" s="6" t="str">
        <f>"女"</f>
        <v>女</v>
      </c>
      <c r="F248" s="6" t="str">
        <f t="shared" si="42"/>
        <v>汉族</v>
      </c>
      <c r="G248" s="6" t="str">
        <f>"团员"</f>
        <v>团员</v>
      </c>
      <c r="H248" s="6" t="str">
        <f t="shared" si="39"/>
        <v>本科</v>
      </c>
      <c r="I248" s="6" t="str">
        <f>"人力资源管理"</f>
        <v>人力资源管理</v>
      </c>
    </row>
    <row r="249" s="2" customFormat="1" ht="20" customHeight="1" spans="1:9">
      <c r="A249" s="6">
        <v>247</v>
      </c>
      <c r="B249" s="6" t="str">
        <f>"220720191126090733213024"</f>
        <v>220720191126090733213024</v>
      </c>
      <c r="C249" s="6" t="s">
        <v>16</v>
      </c>
      <c r="D249" s="6" t="str">
        <f>"李远飞"</f>
        <v>李远飞</v>
      </c>
      <c r="E249" s="6" t="str">
        <f>"女"</f>
        <v>女</v>
      </c>
      <c r="F249" s="6" t="str">
        <f t="shared" si="42"/>
        <v>汉族</v>
      </c>
      <c r="G249" s="6" t="str">
        <f>"群众"</f>
        <v>群众</v>
      </c>
      <c r="H249" s="6" t="str">
        <f t="shared" si="39"/>
        <v>本科</v>
      </c>
      <c r="I249" s="6" t="str">
        <f>"法学、金融学"</f>
        <v>法学、金融学</v>
      </c>
    </row>
    <row r="250" s="2" customFormat="1" ht="20" customHeight="1" spans="1:9">
      <c r="A250" s="6">
        <v>248</v>
      </c>
      <c r="B250" s="6" t="str">
        <f>"220720191126091309213046"</f>
        <v>220720191126091309213046</v>
      </c>
      <c r="C250" s="6" t="s">
        <v>16</v>
      </c>
      <c r="D250" s="6" t="str">
        <f>"曾小柳"</f>
        <v>曾小柳</v>
      </c>
      <c r="E250" s="6" t="str">
        <f>"女"</f>
        <v>女</v>
      </c>
      <c r="F250" s="6" t="str">
        <f t="shared" si="42"/>
        <v>汉族</v>
      </c>
      <c r="G250" s="6" t="str">
        <f>"群众"</f>
        <v>群众</v>
      </c>
      <c r="H250" s="6" t="str">
        <f t="shared" si="39"/>
        <v>本科</v>
      </c>
      <c r="I250" s="6" t="str">
        <f>"法学（国际商法方向）"</f>
        <v>法学（国际商法方向）</v>
      </c>
    </row>
    <row r="251" s="2" customFormat="1" ht="20" customHeight="1" spans="1:9">
      <c r="A251" s="6">
        <v>249</v>
      </c>
      <c r="B251" s="6" t="str">
        <f>"220720191126091758213059"</f>
        <v>220720191126091758213059</v>
      </c>
      <c r="C251" s="6" t="s">
        <v>16</v>
      </c>
      <c r="D251" s="6" t="str">
        <f>"王强"</f>
        <v>王强</v>
      </c>
      <c r="E251" s="6" t="str">
        <f>"男"</f>
        <v>男</v>
      </c>
      <c r="F251" s="6" t="str">
        <f t="shared" si="42"/>
        <v>汉族</v>
      </c>
      <c r="G251" s="6" t="str">
        <f>"中共党员"</f>
        <v>中共党员</v>
      </c>
      <c r="H251" s="6" t="str">
        <f>"研究生"</f>
        <v>研究生</v>
      </c>
      <c r="I251" s="6" t="str">
        <f>"法律硕士（非法学）"</f>
        <v>法律硕士（非法学）</v>
      </c>
    </row>
    <row r="252" s="2" customFormat="1" ht="20" customHeight="1" spans="1:9">
      <c r="A252" s="6">
        <v>250</v>
      </c>
      <c r="B252" s="6" t="str">
        <f>"220720191126113251213580"</f>
        <v>220720191126113251213580</v>
      </c>
      <c r="C252" s="6" t="s">
        <v>16</v>
      </c>
      <c r="D252" s="6" t="str">
        <f>"陈杰"</f>
        <v>陈杰</v>
      </c>
      <c r="E252" s="6" t="str">
        <f>"男"</f>
        <v>男</v>
      </c>
      <c r="F252" s="6" t="str">
        <f t="shared" si="42"/>
        <v>汉族</v>
      </c>
      <c r="G252" s="6" t="str">
        <f>"群众"</f>
        <v>群众</v>
      </c>
      <c r="H252" s="6" t="str">
        <f t="shared" ref="H252:H267" si="43">"本科"</f>
        <v>本科</v>
      </c>
      <c r="I252" s="6" t="str">
        <f t="shared" ref="I252:I267" si="44">"法学"</f>
        <v>法学</v>
      </c>
    </row>
    <row r="253" s="2" customFormat="1" ht="20" customHeight="1" spans="1:9">
      <c r="A253" s="6">
        <v>251</v>
      </c>
      <c r="B253" s="6" t="str">
        <f>"220720191126164728214277"</f>
        <v>220720191126164728214277</v>
      </c>
      <c r="C253" s="6" t="s">
        <v>16</v>
      </c>
      <c r="D253" s="6" t="str">
        <f>"梁卿"</f>
        <v>梁卿</v>
      </c>
      <c r="E253" s="6" t="str">
        <f>"女"</f>
        <v>女</v>
      </c>
      <c r="F253" s="6" t="str">
        <f t="shared" si="42"/>
        <v>汉族</v>
      </c>
      <c r="G253" s="6" t="str">
        <f>"群众"</f>
        <v>群众</v>
      </c>
      <c r="H253" s="6" t="str">
        <f t="shared" si="43"/>
        <v>本科</v>
      </c>
      <c r="I253" s="6" t="str">
        <f t="shared" si="44"/>
        <v>法学</v>
      </c>
    </row>
    <row r="254" s="2" customFormat="1" ht="20" customHeight="1" spans="1:9">
      <c r="A254" s="6">
        <v>252</v>
      </c>
      <c r="B254" s="6" t="str">
        <f>"220720191126171850214331"</f>
        <v>220720191126171850214331</v>
      </c>
      <c r="C254" s="6" t="s">
        <v>16</v>
      </c>
      <c r="D254" s="6" t="str">
        <f>"林严"</f>
        <v>林严</v>
      </c>
      <c r="E254" s="6" t="str">
        <f>"男"</f>
        <v>男</v>
      </c>
      <c r="F254" s="6" t="str">
        <f>"黎族"</f>
        <v>黎族</v>
      </c>
      <c r="G254" s="6" t="str">
        <f>"预备党员"</f>
        <v>预备党员</v>
      </c>
      <c r="H254" s="6" t="str">
        <f t="shared" si="43"/>
        <v>本科</v>
      </c>
      <c r="I254" s="6" t="str">
        <f t="shared" si="44"/>
        <v>法学</v>
      </c>
    </row>
    <row r="255" s="2" customFormat="1" ht="20" customHeight="1" spans="1:9">
      <c r="A255" s="6">
        <v>253</v>
      </c>
      <c r="B255" s="6" t="str">
        <f>"220720191126174216214382"</f>
        <v>220720191126174216214382</v>
      </c>
      <c r="C255" s="6" t="s">
        <v>16</v>
      </c>
      <c r="D255" s="6" t="str">
        <f>"黄蕾燕"</f>
        <v>黄蕾燕</v>
      </c>
      <c r="E255" s="6" t="str">
        <f>"女"</f>
        <v>女</v>
      </c>
      <c r="F255" s="6" t="str">
        <f t="shared" ref="F255:F264" si="45">"汉族"</f>
        <v>汉族</v>
      </c>
      <c r="G255" s="6" t="str">
        <f>"团员"</f>
        <v>团员</v>
      </c>
      <c r="H255" s="6" t="str">
        <f t="shared" si="43"/>
        <v>本科</v>
      </c>
      <c r="I255" s="6" t="str">
        <f t="shared" si="44"/>
        <v>法学</v>
      </c>
    </row>
    <row r="256" s="2" customFormat="1" ht="20" customHeight="1" spans="1:9">
      <c r="A256" s="6">
        <v>254</v>
      </c>
      <c r="B256" s="6" t="str">
        <f>"220720191126214203214799"</f>
        <v>220720191126214203214799</v>
      </c>
      <c r="C256" s="6" t="s">
        <v>16</v>
      </c>
      <c r="D256" s="6" t="str">
        <f>"庄丽倩"</f>
        <v>庄丽倩</v>
      </c>
      <c r="E256" s="6" t="str">
        <f>"女"</f>
        <v>女</v>
      </c>
      <c r="F256" s="6" t="str">
        <f t="shared" si="45"/>
        <v>汉族</v>
      </c>
      <c r="G256" s="6" t="str">
        <f>"团员"</f>
        <v>团员</v>
      </c>
      <c r="H256" s="6" t="str">
        <f t="shared" si="43"/>
        <v>本科</v>
      </c>
      <c r="I256" s="6" t="str">
        <f t="shared" si="44"/>
        <v>法学</v>
      </c>
    </row>
    <row r="257" s="2" customFormat="1" ht="20" customHeight="1" spans="1:9">
      <c r="A257" s="6">
        <v>255</v>
      </c>
      <c r="B257" s="6" t="str">
        <f>"220720191127103434215226"</f>
        <v>220720191127103434215226</v>
      </c>
      <c r="C257" s="6" t="s">
        <v>16</v>
      </c>
      <c r="D257" s="6" t="str">
        <f>"陈庆斌"</f>
        <v>陈庆斌</v>
      </c>
      <c r="E257" s="6" t="str">
        <f>"男"</f>
        <v>男</v>
      </c>
      <c r="F257" s="6" t="str">
        <f t="shared" si="45"/>
        <v>汉族</v>
      </c>
      <c r="G257" s="6" t="str">
        <f>"群众"</f>
        <v>群众</v>
      </c>
      <c r="H257" s="6" t="str">
        <f t="shared" si="43"/>
        <v>本科</v>
      </c>
      <c r="I257" s="6" t="str">
        <f t="shared" si="44"/>
        <v>法学</v>
      </c>
    </row>
    <row r="258" s="2" customFormat="1" ht="20" customHeight="1" spans="1:9">
      <c r="A258" s="6">
        <v>256</v>
      </c>
      <c r="B258" s="6" t="str">
        <f>"220720191127171957215816"</f>
        <v>220720191127171957215816</v>
      </c>
      <c r="C258" s="6" t="s">
        <v>16</v>
      </c>
      <c r="D258" s="6" t="str">
        <f>"顾逢杰"</f>
        <v>顾逢杰</v>
      </c>
      <c r="E258" s="6" t="str">
        <f>"男"</f>
        <v>男</v>
      </c>
      <c r="F258" s="6" t="str">
        <f t="shared" si="45"/>
        <v>汉族</v>
      </c>
      <c r="G258" s="6" t="str">
        <f>"团员"</f>
        <v>团员</v>
      </c>
      <c r="H258" s="6" t="str">
        <f t="shared" si="43"/>
        <v>本科</v>
      </c>
      <c r="I258" s="6" t="str">
        <f t="shared" si="44"/>
        <v>法学</v>
      </c>
    </row>
    <row r="259" s="2" customFormat="1" ht="20" customHeight="1" spans="1:9">
      <c r="A259" s="6">
        <v>257</v>
      </c>
      <c r="B259" s="6" t="str">
        <f>"220720191127183409215908"</f>
        <v>220720191127183409215908</v>
      </c>
      <c r="C259" s="6" t="s">
        <v>16</v>
      </c>
      <c r="D259" s="6" t="str">
        <f>"杜彦君"</f>
        <v>杜彦君</v>
      </c>
      <c r="E259" s="6" t="str">
        <f t="shared" ref="E259:E279" si="46">"女"</f>
        <v>女</v>
      </c>
      <c r="F259" s="6" t="str">
        <f t="shared" si="45"/>
        <v>汉族</v>
      </c>
      <c r="G259" s="6" t="str">
        <f>"中共党员"</f>
        <v>中共党员</v>
      </c>
      <c r="H259" s="6" t="str">
        <f t="shared" si="43"/>
        <v>本科</v>
      </c>
      <c r="I259" s="6" t="str">
        <f t="shared" si="44"/>
        <v>法学</v>
      </c>
    </row>
    <row r="260" s="2" customFormat="1" ht="20" customHeight="1" spans="1:9">
      <c r="A260" s="6">
        <v>258</v>
      </c>
      <c r="B260" s="6" t="str">
        <f>"220720191128082117216308"</f>
        <v>220720191128082117216308</v>
      </c>
      <c r="C260" s="6" t="s">
        <v>16</v>
      </c>
      <c r="D260" s="6" t="str">
        <f>"朱晓红"</f>
        <v>朱晓红</v>
      </c>
      <c r="E260" s="6" t="str">
        <f t="shared" si="46"/>
        <v>女</v>
      </c>
      <c r="F260" s="6" t="str">
        <f t="shared" si="45"/>
        <v>汉族</v>
      </c>
      <c r="G260" s="6" t="str">
        <f>"中共党员"</f>
        <v>中共党员</v>
      </c>
      <c r="H260" s="6" t="str">
        <f t="shared" si="43"/>
        <v>本科</v>
      </c>
      <c r="I260" s="6" t="str">
        <f t="shared" si="44"/>
        <v>法学</v>
      </c>
    </row>
    <row r="261" s="2" customFormat="1" ht="20" customHeight="1" spans="1:9">
      <c r="A261" s="6">
        <v>259</v>
      </c>
      <c r="B261" s="6" t="str">
        <f>"220720191128113615216564"</f>
        <v>220720191128113615216564</v>
      </c>
      <c r="C261" s="6" t="s">
        <v>16</v>
      </c>
      <c r="D261" s="6" t="str">
        <f>"韩青芯"</f>
        <v>韩青芯</v>
      </c>
      <c r="E261" s="6" t="str">
        <f t="shared" si="46"/>
        <v>女</v>
      </c>
      <c r="F261" s="6" t="str">
        <f t="shared" si="45"/>
        <v>汉族</v>
      </c>
      <c r="G261" s="6" t="str">
        <f>"中共党员"</f>
        <v>中共党员</v>
      </c>
      <c r="H261" s="6" t="str">
        <f t="shared" si="43"/>
        <v>本科</v>
      </c>
      <c r="I261" s="6" t="str">
        <f t="shared" si="44"/>
        <v>法学</v>
      </c>
    </row>
    <row r="262" s="2" customFormat="1" ht="20" customHeight="1" spans="1:9">
      <c r="A262" s="6">
        <v>260</v>
      </c>
      <c r="B262" s="6" t="str">
        <f>"220720191128170757217001"</f>
        <v>220720191128170757217001</v>
      </c>
      <c r="C262" s="6" t="s">
        <v>16</v>
      </c>
      <c r="D262" s="6" t="str">
        <f>"吴晓琳"</f>
        <v>吴晓琳</v>
      </c>
      <c r="E262" s="6" t="str">
        <f t="shared" si="46"/>
        <v>女</v>
      </c>
      <c r="F262" s="6" t="str">
        <f t="shared" si="45"/>
        <v>汉族</v>
      </c>
      <c r="G262" s="6" t="str">
        <f>"群众"</f>
        <v>群众</v>
      </c>
      <c r="H262" s="6" t="str">
        <f t="shared" si="43"/>
        <v>本科</v>
      </c>
      <c r="I262" s="6" t="str">
        <f t="shared" si="44"/>
        <v>法学</v>
      </c>
    </row>
    <row r="263" s="2" customFormat="1" ht="20" customHeight="1" spans="1:9">
      <c r="A263" s="6">
        <v>261</v>
      </c>
      <c r="B263" s="6" t="str">
        <f>"220720191128192704217098"</f>
        <v>220720191128192704217098</v>
      </c>
      <c r="C263" s="6" t="s">
        <v>16</v>
      </c>
      <c r="D263" s="6" t="str">
        <f>"胡青"</f>
        <v>胡青</v>
      </c>
      <c r="E263" s="6" t="str">
        <f t="shared" si="46"/>
        <v>女</v>
      </c>
      <c r="F263" s="6" t="str">
        <f t="shared" si="45"/>
        <v>汉族</v>
      </c>
      <c r="G263" s="6" t="str">
        <f>"群众"</f>
        <v>群众</v>
      </c>
      <c r="H263" s="6" t="str">
        <f t="shared" si="43"/>
        <v>本科</v>
      </c>
      <c r="I263" s="6" t="str">
        <f t="shared" si="44"/>
        <v>法学</v>
      </c>
    </row>
    <row r="264" s="2" customFormat="1" ht="20" customHeight="1" spans="1:9">
      <c r="A264" s="6">
        <v>262</v>
      </c>
      <c r="B264" s="6" t="str">
        <f>"220720191128193341217107"</f>
        <v>220720191128193341217107</v>
      </c>
      <c r="C264" s="6" t="s">
        <v>16</v>
      </c>
      <c r="D264" s="6" t="str">
        <f>"何金芳"</f>
        <v>何金芳</v>
      </c>
      <c r="E264" s="6" t="str">
        <f t="shared" si="46"/>
        <v>女</v>
      </c>
      <c r="F264" s="6" t="str">
        <f t="shared" si="45"/>
        <v>汉族</v>
      </c>
      <c r="G264" s="6" t="str">
        <f>"中共党员"</f>
        <v>中共党员</v>
      </c>
      <c r="H264" s="6" t="str">
        <f t="shared" si="43"/>
        <v>本科</v>
      </c>
      <c r="I264" s="6" t="str">
        <f t="shared" si="44"/>
        <v>法学</v>
      </c>
    </row>
    <row r="265" s="2" customFormat="1" ht="20" customHeight="1" spans="1:9">
      <c r="A265" s="6">
        <v>263</v>
      </c>
      <c r="B265" s="6" t="str">
        <f>"220720191129111842217452"</f>
        <v>220720191129111842217452</v>
      </c>
      <c r="C265" s="6" t="s">
        <v>16</v>
      </c>
      <c r="D265" s="6" t="str">
        <f>"王金玲"</f>
        <v>王金玲</v>
      </c>
      <c r="E265" s="6" t="str">
        <f t="shared" si="46"/>
        <v>女</v>
      </c>
      <c r="F265" s="6" t="str">
        <f t="shared" ref="F265:F271" si="47">"汉族"</f>
        <v>汉族</v>
      </c>
      <c r="G265" s="6" t="str">
        <f>"群众"</f>
        <v>群众</v>
      </c>
      <c r="H265" s="6" t="str">
        <f t="shared" si="43"/>
        <v>本科</v>
      </c>
      <c r="I265" s="6" t="str">
        <f t="shared" si="44"/>
        <v>法学</v>
      </c>
    </row>
    <row r="266" s="2" customFormat="1" ht="20" customHeight="1" spans="1:9">
      <c r="A266" s="6">
        <v>264</v>
      </c>
      <c r="B266" s="6" t="str">
        <f>"220720191129112340214449"</f>
        <v>220720191129112340214449</v>
      </c>
      <c r="C266" s="6" t="s">
        <v>16</v>
      </c>
      <c r="D266" s="6" t="str">
        <f>"张颖"</f>
        <v>张颖</v>
      </c>
      <c r="E266" s="6" t="str">
        <f t="shared" si="46"/>
        <v>女</v>
      </c>
      <c r="F266" s="6" t="str">
        <f t="shared" si="47"/>
        <v>汉族</v>
      </c>
      <c r="G266" s="6" t="str">
        <f>"中共党员"</f>
        <v>中共党员</v>
      </c>
      <c r="H266" s="6" t="str">
        <f t="shared" si="43"/>
        <v>本科</v>
      </c>
      <c r="I266" s="6" t="str">
        <f t="shared" si="44"/>
        <v>法学</v>
      </c>
    </row>
    <row r="267" s="2" customFormat="1" ht="20" customHeight="1" spans="1:9">
      <c r="A267" s="6">
        <v>265</v>
      </c>
      <c r="B267" s="6" t="str">
        <f>"220720191129135206217548"</f>
        <v>220720191129135206217548</v>
      </c>
      <c r="C267" s="6" t="s">
        <v>16</v>
      </c>
      <c r="D267" s="6" t="str">
        <f>"冯思芸"</f>
        <v>冯思芸</v>
      </c>
      <c r="E267" s="6" t="str">
        <f t="shared" si="46"/>
        <v>女</v>
      </c>
      <c r="F267" s="6" t="str">
        <f t="shared" si="47"/>
        <v>汉族</v>
      </c>
      <c r="G267" s="6" t="str">
        <f>"中共党员"</f>
        <v>中共党员</v>
      </c>
      <c r="H267" s="6" t="str">
        <f t="shared" si="43"/>
        <v>本科</v>
      </c>
      <c r="I267" s="6" t="str">
        <f t="shared" si="44"/>
        <v>法学</v>
      </c>
    </row>
    <row r="268" s="2" customFormat="1" ht="20" customHeight="1" spans="1:9">
      <c r="A268" s="6">
        <v>266</v>
      </c>
      <c r="B268" s="6" t="str">
        <f>"220720191129205952214689"</f>
        <v>220720191129205952214689</v>
      </c>
      <c r="C268" s="6" t="s">
        <v>16</v>
      </c>
      <c r="D268" s="6" t="str">
        <f>"缑绍阳"</f>
        <v>缑绍阳</v>
      </c>
      <c r="E268" s="6" t="str">
        <f t="shared" si="46"/>
        <v>女</v>
      </c>
      <c r="F268" s="6" t="str">
        <f t="shared" si="47"/>
        <v>汉族</v>
      </c>
      <c r="G268" s="6" t="str">
        <f>"中共党员"</f>
        <v>中共党员</v>
      </c>
      <c r="H268" s="6" t="str">
        <f>"研究生"</f>
        <v>研究生</v>
      </c>
      <c r="I268" s="6" t="str">
        <f>"诉讼法学"</f>
        <v>诉讼法学</v>
      </c>
    </row>
    <row r="269" s="2" customFormat="1" ht="20" customHeight="1" spans="1:9">
      <c r="A269" s="6">
        <v>267</v>
      </c>
      <c r="B269" s="6" t="str">
        <f>"220720191130102033217958"</f>
        <v>220720191130102033217958</v>
      </c>
      <c r="C269" s="6" t="s">
        <v>16</v>
      </c>
      <c r="D269" s="6" t="str">
        <f>"杜海玎"</f>
        <v>杜海玎</v>
      </c>
      <c r="E269" s="6" t="str">
        <f t="shared" si="46"/>
        <v>女</v>
      </c>
      <c r="F269" s="6" t="str">
        <f t="shared" si="47"/>
        <v>汉族</v>
      </c>
      <c r="G269" s="6" t="str">
        <f>"群众"</f>
        <v>群众</v>
      </c>
      <c r="H269" s="6" t="str">
        <f t="shared" ref="H269:H292" si="48">"本科"</f>
        <v>本科</v>
      </c>
      <c r="I269" s="6" t="str">
        <f>"法学"</f>
        <v>法学</v>
      </c>
    </row>
    <row r="270" s="2" customFormat="1" ht="20" customHeight="1" spans="1:9">
      <c r="A270" s="6">
        <v>268</v>
      </c>
      <c r="B270" s="6" t="str">
        <f>"220720191201103244214193"</f>
        <v>220720191201103244214193</v>
      </c>
      <c r="C270" s="6" t="s">
        <v>16</v>
      </c>
      <c r="D270" s="6" t="str">
        <f>"饶芳"</f>
        <v>饶芳</v>
      </c>
      <c r="E270" s="6" t="str">
        <f t="shared" si="46"/>
        <v>女</v>
      </c>
      <c r="F270" s="6" t="str">
        <f t="shared" si="47"/>
        <v>汉族</v>
      </c>
      <c r="G270" s="6" t="str">
        <f>"团员"</f>
        <v>团员</v>
      </c>
      <c r="H270" s="6" t="str">
        <f t="shared" si="48"/>
        <v>本科</v>
      </c>
      <c r="I270" s="6" t="str">
        <f>"法学"</f>
        <v>法学</v>
      </c>
    </row>
    <row r="271" s="2" customFormat="1" ht="20" customHeight="1" spans="1:9">
      <c r="A271" s="6">
        <v>269</v>
      </c>
      <c r="B271" s="6" t="str">
        <f>"220720191201190426218380"</f>
        <v>220720191201190426218380</v>
      </c>
      <c r="C271" s="6" t="s">
        <v>16</v>
      </c>
      <c r="D271" s="6" t="str">
        <f>"李华曦"</f>
        <v>李华曦</v>
      </c>
      <c r="E271" s="6" t="str">
        <f t="shared" si="46"/>
        <v>女</v>
      </c>
      <c r="F271" s="6" t="str">
        <f t="shared" si="47"/>
        <v>汉族</v>
      </c>
      <c r="G271" s="6" t="str">
        <f>"群众"</f>
        <v>群众</v>
      </c>
      <c r="H271" s="6" t="str">
        <f t="shared" si="48"/>
        <v>本科</v>
      </c>
      <c r="I271" s="6" t="str">
        <f>"法学"</f>
        <v>法学</v>
      </c>
    </row>
    <row r="272" s="2" customFormat="1" ht="20" customHeight="1" spans="1:9">
      <c r="A272" s="6">
        <v>270</v>
      </c>
      <c r="B272" s="6" t="str">
        <f>"220720191202110016218579"</f>
        <v>220720191202110016218579</v>
      </c>
      <c r="C272" s="6" t="s">
        <v>16</v>
      </c>
      <c r="D272" s="6" t="str">
        <f>"陈艺娇"</f>
        <v>陈艺娇</v>
      </c>
      <c r="E272" s="6" t="str">
        <f t="shared" si="46"/>
        <v>女</v>
      </c>
      <c r="F272" s="6" t="str">
        <f>"黎族"</f>
        <v>黎族</v>
      </c>
      <c r="G272" s="6" t="str">
        <f>"团员"</f>
        <v>团员</v>
      </c>
      <c r="H272" s="6" t="str">
        <f t="shared" si="48"/>
        <v>本科</v>
      </c>
      <c r="I272" s="6" t="str">
        <f>"法学"</f>
        <v>法学</v>
      </c>
    </row>
    <row r="273" s="2" customFormat="1" ht="20" customHeight="1" spans="1:9">
      <c r="A273" s="6">
        <v>271</v>
      </c>
      <c r="B273" s="6" t="str">
        <f>"220720191126090147212994"</f>
        <v>220720191126090147212994</v>
      </c>
      <c r="C273" s="6" t="s">
        <v>17</v>
      </c>
      <c r="D273" s="6" t="str">
        <f>"黄愉媚"</f>
        <v>黄愉媚</v>
      </c>
      <c r="E273" s="6" t="str">
        <f t="shared" si="46"/>
        <v>女</v>
      </c>
      <c r="F273" s="6" t="str">
        <f>"汉族"</f>
        <v>汉族</v>
      </c>
      <c r="G273" s="6" t="str">
        <f>"中共党员"</f>
        <v>中共党员</v>
      </c>
      <c r="H273" s="6" t="str">
        <f t="shared" si="48"/>
        <v>本科</v>
      </c>
      <c r="I273" s="6" t="str">
        <f>"电子商务"</f>
        <v>电子商务</v>
      </c>
    </row>
    <row r="274" s="2" customFormat="1" ht="20" customHeight="1" spans="1:9">
      <c r="A274" s="6">
        <v>272</v>
      </c>
      <c r="B274" s="6" t="str">
        <f>"220720191126090222212999"</f>
        <v>220720191126090222212999</v>
      </c>
      <c r="C274" s="6" t="s">
        <v>17</v>
      </c>
      <c r="D274" s="6" t="str">
        <f>"梁艳"</f>
        <v>梁艳</v>
      </c>
      <c r="E274" s="6" t="str">
        <f t="shared" si="46"/>
        <v>女</v>
      </c>
      <c r="F274" s="6" t="str">
        <f>"汉族"</f>
        <v>汉族</v>
      </c>
      <c r="G274" s="6" t="str">
        <f>"群众"</f>
        <v>群众</v>
      </c>
      <c r="H274" s="6" t="str">
        <f t="shared" si="48"/>
        <v>本科</v>
      </c>
      <c r="I274" s="6" t="str">
        <f>"旅游管理"</f>
        <v>旅游管理</v>
      </c>
    </row>
    <row r="275" s="2" customFormat="1" ht="20" customHeight="1" spans="1:9">
      <c r="A275" s="6">
        <v>273</v>
      </c>
      <c r="B275" s="6" t="str">
        <f>"220720191126090553213016"</f>
        <v>220720191126090553213016</v>
      </c>
      <c r="C275" s="6" t="s">
        <v>17</v>
      </c>
      <c r="D275" s="6" t="str">
        <f>"梁乙清"</f>
        <v>梁乙清</v>
      </c>
      <c r="E275" s="6" t="str">
        <f t="shared" si="46"/>
        <v>女</v>
      </c>
      <c r="F275" s="6" t="str">
        <f>"汉族"</f>
        <v>汉族</v>
      </c>
      <c r="G275" s="6" t="str">
        <f>"群众"</f>
        <v>群众</v>
      </c>
      <c r="H275" s="6" t="str">
        <f t="shared" si="48"/>
        <v>本科</v>
      </c>
      <c r="I275" s="6" t="str">
        <f>"旅游管理"</f>
        <v>旅游管理</v>
      </c>
    </row>
    <row r="276" s="2" customFormat="1" ht="20" customHeight="1" spans="1:9">
      <c r="A276" s="6">
        <v>274</v>
      </c>
      <c r="B276" s="6" t="str">
        <f>"220720191126092204213079"</f>
        <v>220720191126092204213079</v>
      </c>
      <c r="C276" s="6" t="s">
        <v>17</v>
      </c>
      <c r="D276" s="6" t="str">
        <f>"田月娟"</f>
        <v>田月娟</v>
      </c>
      <c r="E276" s="6" t="str">
        <f t="shared" si="46"/>
        <v>女</v>
      </c>
      <c r="F276" s="6" t="str">
        <f>"汉族"</f>
        <v>汉族</v>
      </c>
      <c r="G276" s="6" t="str">
        <f>"中共党员"</f>
        <v>中共党员</v>
      </c>
      <c r="H276" s="6" t="str">
        <f t="shared" si="48"/>
        <v>本科</v>
      </c>
      <c r="I276" s="6" t="str">
        <f>"市场营销"</f>
        <v>市场营销</v>
      </c>
    </row>
    <row r="277" s="2" customFormat="1" ht="20" customHeight="1" spans="1:9">
      <c r="A277" s="6">
        <v>275</v>
      </c>
      <c r="B277" s="6" t="str">
        <f>"220720191126092536213096"</f>
        <v>220720191126092536213096</v>
      </c>
      <c r="C277" s="6" t="s">
        <v>17</v>
      </c>
      <c r="D277" s="6" t="str">
        <f>"符碧菁"</f>
        <v>符碧菁</v>
      </c>
      <c r="E277" s="6" t="str">
        <f t="shared" si="46"/>
        <v>女</v>
      </c>
      <c r="F277" s="6" t="str">
        <f>"黎族"</f>
        <v>黎族</v>
      </c>
      <c r="G277" s="6" t="str">
        <f>"群众"</f>
        <v>群众</v>
      </c>
      <c r="H277" s="6" t="str">
        <f t="shared" si="48"/>
        <v>本科</v>
      </c>
      <c r="I277" s="6" t="str">
        <f>"物流管理"</f>
        <v>物流管理</v>
      </c>
    </row>
    <row r="278" s="2" customFormat="1" ht="20" customHeight="1" spans="1:9">
      <c r="A278" s="6">
        <v>276</v>
      </c>
      <c r="B278" s="6" t="str">
        <f>"220720191126092859213112"</f>
        <v>220720191126092859213112</v>
      </c>
      <c r="C278" s="6" t="s">
        <v>17</v>
      </c>
      <c r="D278" s="6" t="str">
        <f>"吴灵霞"</f>
        <v>吴灵霞</v>
      </c>
      <c r="E278" s="6" t="str">
        <f t="shared" si="46"/>
        <v>女</v>
      </c>
      <c r="F278" s="6" t="str">
        <f>"汉族"</f>
        <v>汉族</v>
      </c>
      <c r="G278" s="6" t="str">
        <f>"群众"</f>
        <v>群众</v>
      </c>
      <c r="H278" s="6" t="str">
        <f t="shared" si="48"/>
        <v>本科</v>
      </c>
      <c r="I278" s="6" t="str">
        <f>"旅游管理专业"</f>
        <v>旅游管理专业</v>
      </c>
    </row>
    <row r="279" s="2" customFormat="1" ht="20" customHeight="1" spans="1:9">
      <c r="A279" s="6">
        <v>277</v>
      </c>
      <c r="B279" s="6" t="str">
        <f>"220720191126093400213140"</f>
        <v>220720191126093400213140</v>
      </c>
      <c r="C279" s="6" t="s">
        <v>17</v>
      </c>
      <c r="D279" s="6" t="str">
        <f>"陈双双"</f>
        <v>陈双双</v>
      </c>
      <c r="E279" s="6" t="str">
        <f t="shared" si="46"/>
        <v>女</v>
      </c>
      <c r="F279" s="6" t="str">
        <f>"汉族"</f>
        <v>汉族</v>
      </c>
      <c r="G279" s="6" t="str">
        <f>"群众"</f>
        <v>群众</v>
      </c>
      <c r="H279" s="6" t="str">
        <f t="shared" si="48"/>
        <v>本科</v>
      </c>
      <c r="I279" s="6" t="str">
        <f t="shared" ref="I279:I287" si="49">"物流管理"</f>
        <v>物流管理</v>
      </c>
    </row>
    <row r="280" s="2" customFormat="1" ht="20" customHeight="1" spans="1:9">
      <c r="A280" s="6">
        <v>278</v>
      </c>
      <c r="B280" s="6" t="str">
        <f>"220720191126093421213143"</f>
        <v>220720191126093421213143</v>
      </c>
      <c r="C280" s="6" t="s">
        <v>17</v>
      </c>
      <c r="D280" s="6" t="str">
        <f>"李永康"</f>
        <v>李永康</v>
      </c>
      <c r="E280" s="6" t="str">
        <f>"男"</f>
        <v>男</v>
      </c>
      <c r="F280" s="6" t="str">
        <f>"汉族"</f>
        <v>汉族</v>
      </c>
      <c r="G280" s="6" t="str">
        <f>"团员"</f>
        <v>团员</v>
      </c>
      <c r="H280" s="6" t="str">
        <f t="shared" si="48"/>
        <v>本科</v>
      </c>
      <c r="I280" s="6" t="str">
        <f t="shared" si="49"/>
        <v>物流管理</v>
      </c>
    </row>
    <row r="281" s="2" customFormat="1" ht="20" customHeight="1" spans="1:9">
      <c r="A281" s="6">
        <v>279</v>
      </c>
      <c r="B281" s="6" t="str">
        <f>"220720191126093819213163"</f>
        <v>220720191126093819213163</v>
      </c>
      <c r="C281" s="6" t="s">
        <v>17</v>
      </c>
      <c r="D281" s="6" t="str">
        <f>"符初泽"</f>
        <v>符初泽</v>
      </c>
      <c r="E281" s="6" t="str">
        <f>"男"</f>
        <v>男</v>
      </c>
      <c r="F281" s="6" t="str">
        <f>"黎族"</f>
        <v>黎族</v>
      </c>
      <c r="G281" s="6" t="str">
        <f>"群众"</f>
        <v>群众</v>
      </c>
      <c r="H281" s="6" t="str">
        <f t="shared" si="48"/>
        <v>本科</v>
      </c>
      <c r="I281" s="6" t="str">
        <f t="shared" si="49"/>
        <v>物流管理</v>
      </c>
    </row>
    <row r="282" s="2" customFormat="1" ht="20" customHeight="1" spans="1:9">
      <c r="A282" s="6">
        <v>280</v>
      </c>
      <c r="B282" s="6" t="str">
        <f>"220720191126101015213297"</f>
        <v>220720191126101015213297</v>
      </c>
      <c r="C282" s="6" t="s">
        <v>17</v>
      </c>
      <c r="D282" s="6" t="str">
        <f>"阮钰"</f>
        <v>阮钰</v>
      </c>
      <c r="E282" s="6" t="str">
        <f>"女"</f>
        <v>女</v>
      </c>
      <c r="F282" s="6" t="str">
        <f t="shared" ref="F282:F289" si="50">"汉族"</f>
        <v>汉族</v>
      </c>
      <c r="G282" s="6" t="str">
        <f>"团员"</f>
        <v>团员</v>
      </c>
      <c r="H282" s="6" t="str">
        <f t="shared" si="48"/>
        <v>本科</v>
      </c>
      <c r="I282" s="6" t="str">
        <f t="shared" si="49"/>
        <v>物流管理</v>
      </c>
    </row>
    <row r="283" s="2" customFormat="1" ht="20" customHeight="1" spans="1:9">
      <c r="A283" s="6">
        <v>281</v>
      </c>
      <c r="B283" s="6" t="str">
        <f>"220720191126101132213304"</f>
        <v>220720191126101132213304</v>
      </c>
      <c r="C283" s="6" t="s">
        <v>17</v>
      </c>
      <c r="D283" s="6" t="str">
        <f>"冯威铭"</f>
        <v>冯威铭</v>
      </c>
      <c r="E283" s="6" t="str">
        <f>"男"</f>
        <v>男</v>
      </c>
      <c r="F283" s="6" t="str">
        <f t="shared" si="50"/>
        <v>汉族</v>
      </c>
      <c r="G283" s="6" t="str">
        <f>"群众"</f>
        <v>群众</v>
      </c>
      <c r="H283" s="6" t="str">
        <f t="shared" si="48"/>
        <v>本科</v>
      </c>
      <c r="I283" s="6" t="str">
        <f t="shared" si="49"/>
        <v>物流管理</v>
      </c>
    </row>
    <row r="284" s="2" customFormat="1" ht="20" customHeight="1" spans="1:9">
      <c r="A284" s="6">
        <v>282</v>
      </c>
      <c r="B284" s="6" t="str">
        <f>"220720191126101722213328"</f>
        <v>220720191126101722213328</v>
      </c>
      <c r="C284" s="6" t="s">
        <v>17</v>
      </c>
      <c r="D284" s="6" t="str">
        <f>"王克善"</f>
        <v>王克善</v>
      </c>
      <c r="E284" s="6" t="str">
        <f>"男"</f>
        <v>男</v>
      </c>
      <c r="F284" s="6" t="str">
        <f t="shared" si="50"/>
        <v>汉族</v>
      </c>
      <c r="G284" s="6" t="str">
        <f>"团员"</f>
        <v>团员</v>
      </c>
      <c r="H284" s="6" t="str">
        <f t="shared" si="48"/>
        <v>本科</v>
      </c>
      <c r="I284" s="6" t="str">
        <f t="shared" si="49"/>
        <v>物流管理</v>
      </c>
    </row>
    <row r="285" s="2" customFormat="1" ht="20" customHeight="1" spans="1:9">
      <c r="A285" s="6">
        <v>283</v>
      </c>
      <c r="B285" s="6" t="str">
        <f>"220720191126104904213440"</f>
        <v>220720191126104904213440</v>
      </c>
      <c r="C285" s="6" t="s">
        <v>17</v>
      </c>
      <c r="D285" s="6" t="str">
        <f>"裴俊超"</f>
        <v>裴俊超</v>
      </c>
      <c r="E285" s="6" t="str">
        <f>"男"</f>
        <v>男</v>
      </c>
      <c r="F285" s="6" t="str">
        <f t="shared" si="50"/>
        <v>汉族</v>
      </c>
      <c r="G285" s="6" t="str">
        <f>"中共党员"</f>
        <v>中共党员</v>
      </c>
      <c r="H285" s="6" t="str">
        <f t="shared" si="48"/>
        <v>本科</v>
      </c>
      <c r="I285" s="6" t="str">
        <f t="shared" si="49"/>
        <v>物流管理</v>
      </c>
    </row>
    <row r="286" s="2" customFormat="1" ht="20" customHeight="1" spans="1:9">
      <c r="A286" s="6">
        <v>284</v>
      </c>
      <c r="B286" s="6" t="str">
        <f>"220720191126114007213607"</f>
        <v>220720191126114007213607</v>
      </c>
      <c r="C286" s="6" t="s">
        <v>17</v>
      </c>
      <c r="D286" s="6" t="str">
        <f>"王芳"</f>
        <v>王芳</v>
      </c>
      <c r="E286" s="6" t="str">
        <f>"女"</f>
        <v>女</v>
      </c>
      <c r="F286" s="6" t="str">
        <f t="shared" si="50"/>
        <v>汉族</v>
      </c>
      <c r="G286" s="6" t="str">
        <f>"中共党员"</f>
        <v>中共党员</v>
      </c>
      <c r="H286" s="6" t="str">
        <f t="shared" si="48"/>
        <v>本科</v>
      </c>
      <c r="I286" s="6" t="str">
        <f t="shared" si="49"/>
        <v>物流管理</v>
      </c>
    </row>
    <row r="287" s="2" customFormat="1" ht="20" customHeight="1" spans="1:9">
      <c r="A287" s="6">
        <v>285</v>
      </c>
      <c r="B287" s="6" t="str">
        <f>"220720191126115732213653"</f>
        <v>220720191126115732213653</v>
      </c>
      <c r="C287" s="6" t="s">
        <v>17</v>
      </c>
      <c r="D287" s="6" t="str">
        <f>"王海玲"</f>
        <v>王海玲</v>
      </c>
      <c r="E287" s="6" t="str">
        <f>"女"</f>
        <v>女</v>
      </c>
      <c r="F287" s="6" t="str">
        <f t="shared" si="50"/>
        <v>汉族</v>
      </c>
      <c r="G287" s="6" t="str">
        <f>"群众"</f>
        <v>群众</v>
      </c>
      <c r="H287" s="6" t="str">
        <f t="shared" si="48"/>
        <v>本科</v>
      </c>
      <c r="I287" s="6" t="str">
        <f t="shared" si="49"/>
        <v>物流管理</v>
      </c>
    </row>
    <row r="288" s="2" customFormat="1" ht="20" customHeight="1" spans="1:9">
      <c r="A288" s="6">
        <v>286</v>
      </c>
      <c r="B288" s="6" t="str">
        <f>"220720191126122837213710"</f>
        <v>220720191126122837213710</v>
      </c>
      <c r="C288" s="6" t="s">
        <v>17</v>
      </c>
      <c r="D288" s="6" t="str">
        <f>"王强"</f>
        <v>王强</v>
      </c>
      <c r="E288" s="6" t="str">
        <f>"男"</f>
        <v>男</v>
      </c>
      <c r="F288" s="6" t="str">
        <f t="shared" si="50"/>
        <v>汉族</v>
      </c>
      <c r="G288" s="6" t="str">
        <f>"中共党员"</f>
        <v>中共党员</v>
      </c>
      <c r="H288" s="6" t="str">
        <f t="shared" si="48"/>
        <v>本科</v>
      </c>
      <c r="I288" s="6" t="str">
        <f>"市场营销专业"</f>
        <v>市场营销专业</v>
      </c>
    </row>
    <row r="289" s="2" customFormat="1" ht="20" customHeight="1" spans="1:9">
      <c r="A289" s="6">
        <v>287</v>
      </c>
      <c r="B289" s="6" t="str">
        <f>"220720191126130108213792"</f>
        <v>220720191126130108213792</v>
      </c>
      <c r="C289" s="6" t="s">
        <v>17</v>
      </c>
      <c r="D289" s="6" t="str">
        <f>"陈先文"</f>
        <v>陈先文</v>
      </c>
      <c r="E289" s="6" t="str">
        <f>"男"</f>
        <v>男</v>
      </c>
      <c r="F289" s="6" t="str">
        <f t="shared" si="50"/>
        <v>汉族</v>
      </c>
      <c r="G289" s="6" t="str">
        <f>"群众"</f>
        <v>群众</v>
      </c>
      <c r="H289" s="6" t="str">
        <f t="shared" si="48"/>
        <v>本科</v>
      </c>
      <c r="I289" s="6" t="str">
        <f>"物流管理"</f>
        <v>物流管理</v>
      </c>
    </row>
    <row r="290" s="2" customFormat="1" ht="20" customHeight="1" spans="1:9">
      <c r="A290" s="6">
        <v>288</v>
      </c>
      <c r="B290" s="6" t="str">
        <f>"220720191126144545213969"</f>
        <v>220720191126144545213969</v>
      </c>
      <c r="C290" s="6" t="s">
        <v>17</v>
      </c>
      <c r="D290" s="6" t="str">
        <f>"石悦"</f>
        <v>石悦</v>
      </c>
      <c r="E290" s="6" t="str">
        <f t="shared" ref="E290:E295" si="51">"女"</f>
        <v>女</v>
      </c>
      <c r="F290" s="6" t="str">
        <f>"回族"</f>
        <v>回族</v>
      </c>
      <c r="G290" s="6" t="str">
        <f>"中共党员"</f>
        <v>中共党员</v>
      </c>
      <c r="H290" s="6" t="str">
        <f t="shared" si="48"/>
        <v>本科</v>
      </c>
      <c r="I290" s="6" t="str">
        <f>"旅游管理"</f>
        <v>旅游管理</v>
      </c>
    </row>
    <row r="291" s="2" customFormat="1" ht="20" customHeight="1" spans="1:9">
      <c r="A291" s="6">
        <v>289</v>
      </c>
      <c r="B291" s="6" t="str">
        <f>"220720191126145022213986"</f>
        <v>220720191126145022213986</v>
      </c>
      <c r="C291" s="6" t="s">
        <v>17</v>
      </c>
      <c r="D291" s="6" t="str">
        <f>"谢周转"</f>
        <v>谢周转</v>
      </c>
      <c r="E291" s="6" t="str">
        <f t="shared" si="51"/>
        <v>女</v>
      </c>
      <c r="F291" s="6" t="str">
        <f>"汉族"</f>
        <v>汉族</v>
      </c>
      <c r="G291" s="6" t="str">
        <f>"群众"</f>
        <v>群众</v>
      </c>
      <c r="H291" s="6" t="str">
        <f t="shared" si="48"/>
        <v>本科</v>
      </c>
      <c r="I291" s="6" t="str">
        <f>"物流管理"</f>
        <v>物流管理</v>
      </c>
    </row>
    <row r="292" s="2" customFormat="1" ht="20" customHeight="1" spans="1:9">
      <c r="A292" s="6">
        <v>290</v>
      </c>
      <c r="B292" s="6" t="str">
        <f>"220720191126150211214016"</f>
        <v>220720191126150211214016</v>
      </c>
      <c r="C292" s="6" t="s">
        <v>17</v>
      </c>
      <c r="D292" s="6" t="str">
        <f>"梁娜"</f>
        <v>梁娜</v>
      </c>
      <c r="E292" s="6" t="str">
        <f t="shared" si="51"/>
        <v>女</v>
      </c>
      <c r="F292" s="6" t="str">
        <f>"汉族"</f>
        <v>汉族</v>
      </c>
      <c r="G292" s="6" t="str">
        <f>"群众"</f>
        <v>群众</v>
      </c>
      <c r="H292" s="6" t="str">
        <f t="shared" si="48"/>
        <v>本科</v>
      </c>
      <c r="I292" s="6" t="str">
        <f>"物流管理"</f>
        <v>物流管理</v>
      </c>
    </row>
    <row r="293" s="2" customFormat="1" ht="20" customHeight="1" spans="1:9">
      <c r="A293" s="6">
        <v>291</v>
      </c>
      <c r="B293" s="6" t="str">
        <f>"220720191126151814214050"</f>
        <v>220720191126151814214050</v>
      </c>
      <c r="C293" s="6" t="s">
        <v>17</v>
      </c>
      <c r="D293" s="6" t="str">
        <f>"符宜彦"</f>
        <v>符宜彦</v>
      </c>
      <c r="E293" s="6" t="str">
        <f t="shared" si="51"/>
        <v>女</v>
      </c>
      <c r="F293" s="6" t="str">
        <f>"汉族"</f>
        <v>汉族</v>
      </c>
      <c r="G293" s="6" t="str">
        <f>"群众"</f>
        <v>群众</v>
      </c>
      <c r="H293" s="6" t="str">
        <f>"研究生"</f>
        <v>研究生</v>
      </c>
      <c r="I293" s="6" t="str">
        <f>"旅游管理"</f>
        <v>旅游管理</v>
      </c>
    </row>
    <row r="294" s="2" customFormat="1" ht="20" customHeight="1" spans="1:9">
      <c r="A294" s="6">
        <v>292</v>
      </c>
      <c r="B294" s="6" t="str">
        <f>"220720191126161429214175"</f>
        <v>220720191126161429214175</v>
      </c>
      <c r="C294" s="6" t="s">
        <v>17</v>
      </c>
      <c r="D294" s="6" t="str">
        <f>"李佳禧"</f>
        <v>李佳禧</v>
      </c>
      <c r="E294" s="6" t="str">
        <f t="shared" si="51"/>
        <v>女</v>
      </c>
      <c r="F294" s="6" t="str">
        <f>"黎族"</f>
        <v>黎族</v>
      </c>
      <c r="G294" s="6" t="str">
        <f>"团员"</f>
        <v>团员</v>
      </c>
      <c r="H294" s="6" t="str">
        <f t="shared" ref="H294:H299" si="52">"本科"</f>
        <v>本科</v>
      </c>
      <c r="I294" s="6" t="str">
        <f>"会计学"</f>
        <v>会计学</v>
      </c>
    </row>
    <row r="295" s="2" customFormat="1" ht="20" customHeight="1" spans="1:9">
      <c r="A295" s="6">
        <v>293</v>
      </c>
      <c r="B295" s="6" t="str">
        <f>"220720191126163039214208"</f>
        <v>220720191126163039214208</v>
      </c>
      <c r="C295" s="6" t="s">
        <v>17</v>
      </c>
      <c r="D295" s="6" t="str">
        <f>"林晓杰"</f>
        <v>林晓杰</v>
      </c>
      <c r="E295" s="6" t="str">
        <f t="shared" si="51"/>
        <v>女</v>
      </c>
      <c r="F295" s="6" t="str">
        <f t="shared" ref="F295:F304" si="53">"汉族"</f>
        <v>汉族</v>
      </c>
      <c r="G295" s="6" t="str">
        <f>"群众"</f>
        <v>群众</v>
      </c>
      <c r="H295" s="6" t="str">
        <f t="shared" si="52"/>
        <v>本科</v>
      </c>
      <c r="I295" s="6" t="str">
        <f>"会计学"</f>
        <v>会计学</v>
      </c>
    </row>
    <row r="296" s="2" customFormat="1" ht="20" customHeight="1" spans="1:9">
      <c r="A296" s="6">
        <v>294</v>
      </c>
      <c r="B296" s="6" t="str">
        <f>"220720191126184101214482"</f>
        <v>220720191126184101214482</v>
      </c>
      <c r="C296" s="6" t="s">
        <v>17</v>
      </c>
      <c r="D296" s="6" t="str">
        <f>"张雪辉"</f>
        <v>张雪辉</v>
      </c>
      <c r="E296" s="6" t="str">
        <f>"男"</f>
        <v>男</v>
      </c>
      <c r="F296" s="6" t="str">
        <f t="shared" si="53"/>
        <v>汉族</v>
      </c>
      <c r="G296" s="6" t="str">
        <f>"团员"</f>
        <v>团员</v>
      </c>
      <c r="H296" s="6" t="str">
        <f t="shared" si="52"/>
        <v>本科</v>
      </c>
      <c r="I296" s="6" t="str">
        <f>"物流管理专业"</f>
        <v>物流管理专业</v>
      </c>
    </row>
    <row r="297" s="2" customFormat="1" ht="20" customHeight="1" spans="1:9">
      <c r="A297" s="6">
        <v>295</v>
      </c>
      <c r="B297" s="6" t="str">
        <f>"220720191126192823214546"</f>
        <v>220720191126192823214546</v>
      </c>
      <c r="C297" s="6" t="s">
        <v>17</v>
      </c>
      <c r="D297" s="6" t="str">
        <f>"林茹"</f>
        <v>林茹</v>
      </c>
      <c r="E297" s="6" t="str">
        <f>"女"</f>
        <v>女</v>
      </c>
      <c r="F297" s="6" t="str">
        <f t="shared" si="53"/>
        <v>汉族</v>
      </c>
      <c r="G297" s="6" t="str">
        <f>"群众"</f>
        <v>群众</v>
      </c>
      <c r="H297" s="6" t="str">
        <f t="shared" si="52"/>
        <v>本科</v>
      </c>
      <c r="I297" s="6" t="str">
        <f>"市场营销"</f>
        <v>市场营销</v>
      </c>
    </row>
    <row r="298" s="2" customFormat="1" ht="20" customHeight="1" spans="1:9">
      <c r="A298" s="6">
        <v>296</v>
      </c>
      <c r="B298" s="6" t="str">
        <f>"220720191126195640214598"</f>
        <v>220720191126195640214598</v>
      </c>
      <c r="C298" s="6" t="s">
        <v>17</v>
      </c>
      <c r="D298" s="6" t="str">
        <f>"吴惟肖"</f>
        <v>吴惟肖</v>
      </c>
      <c r="E298" s="6" t="str">
        <f>"女"</f>
        <v>女</v>
      </c>
      <c r="F298" s="6" t="str">
        <f t="shared" si="53"/>
        <v>汉族</v>
      </c>
      <c r="G298" s="6" t="str">
        <f>"中共党员"</f>
        <v>中共党员</v>
      </c>
      <c r="H298" s="6" t="str">
        <f t="shared" si="52"/>
        <v>本科</v>
      </c>
      <c r="I298" s="6" t="str">
        <f>"物流管理"</f>
        <v>物流管理</v>
      </c>
    </row>
    <row r="299" s="2" customFormat="1" ht="20" customHeight="1" spans="1:9">
      <c r="A299" s="6">
        <v>297</v>
      </c>
      <c r="B299" s="6" t="str">
        <f>"220720191126214247214800"</f>
        <v>220720191126214247214800</v>
      </c>
      <c r="C299" s="6" t="s">
        <v>17</v>
      </c>
      <c r="D299" s="6" t="str">
        <f>"王壮联"</f>
        <v>王壮联</v>
      </c>
      <c r="E299" s="6" t="str">
        <f>"女"</f>
        <v>女</v>
      </c>
      <c r="F299" s="6" t="str">
        <f t="shared" si="53"/>
        <v>汉族</v>
      </c>
      <c r="G299" s="6" t="str">
        <f>"团员"</f>
        <v>团员</v>
      </c>
      <c r="H299" s="6" t="str">
        <f t="shared" si="52"/>
        <v>本科</v>
      </c>
      <c r="I299" s="6" t="str">
        <f>"物流管理专业"</f>
        <v>物流管理专业</v>
      </c>
    </row>
    <row r="300" s="2" customFormat="1" ht="20" customHeight="1" spans="1:9">
      <c r="A300" s="6">
        <v>298</v>
      </c>
      <c r="B300" s="6" t="str">
        <f>"220720191126214259214802"</f>
        <v>220720191126214259214802</v>
      </c>
      <c r="C300" s="6" t="s">
        <v>17</v>
      </c>
      <c r="D300" s="6" t="str">
        <f>"王如勇"</f>
        <v>王如勇</v>
      </c>
      <c r="E300" s="6" t="str">
        <f>"男"</f>
        <v>男</v>
      </c>
      <c r="F300" s="6" t="str">
        <f t="shared" si="53"/>
        <v>汉族</v>
      </c>
      <c r="G300" s="6" t="str">
        <f>"中共党员"</f>
        <v>中共党员</v>
      </c>
      <c r="H300" s="6" t="str">
        <f>"研究生"</f>
        <v>研究生</v>
      </c>
      <c r="I300" s="6" t="str">
        <f>"物流工程专业"</f>
        <v>物流工程专业</v>
      </c>
    </row>
    <row r="301" s="2" customFormat="1" ht="20" customHeight="1" spans="1:9">
      <c r="A301" s="6">
        <v>299</v>
      </c>
      <c r="B301" s="6" t="str">
        <f>"220720191127001914214954"</f>
        <v>220720191127001914214954</v>
      </c>
      <c r="C301" s="6" t="s">
        <v>17</v>
      </c>
      <c r="D301" s="6" t="str">
        <f>"王宏桦"</f>
        <v>王宏桦</v>
      </c>
      <c r="E301" s="6" t="str">
        <f>"男"</f>
        <v>男</v>
      </c>
      <c r="F301" s="6" t="str">
        <f t="shared" si="53"/>
        <v>汉族</v>
      </c>
      <c r="G301" s="6" t="str">
        <f>"群众"</f>
        <v>群众</v>
      </c>
      <c r="H301" s="6" t="str">
        <f t="shared" ref="H301:H342" si="54">"本科"</f>
        <v>本科</v>
      </c>
      <c r="I301" s="6" t="str">
        <f>"物流工程"</f>
        <v>物流工程</v>
      </c>
    </row>
    <row r="302" s="2" customFormat="1" ht="20" customHeight="1" spans="1:9">
      <c r="A302" s="6">
        <v>300</v>
      </c>
      <c r="B302" s="6" t="str">
        <f>"220720191127094107215137"</f>
        <v>220720191127094107215137</v>
      </c>
      <c r="C302" s="6" t="s">
        <v>17</v>
      </c>
      <c r="D302" s="6" t="str">
        <f>"颜召尧"</f>
        <v>颜召尧</v>
      </c>
      <c r="E302" s="6" t="str">
        <f>"男"</f>
        <v>男</v>
      </c>
      <c r="F302" s="6" t="str">
        <f t="shared" si="53"/>
        <v>汉族</v>
      </c>
      <c r="G302" s="6" t="str">
        <f>"群众"</f>
        <v>群众</v>
      </c>
      <c r="H302" s="6" t="str">
        <f t="shared" si="54"/>
        <v>本科</v>
      </c>
      <c r="I302" s="6" t="str">
        <f>"物流管理"</f>
        <v>物流管理</v>
      </c>
    </row>
    <row r="303" s="2" customFormat="1" ht="20" customHeight="1" spans="1:9">
      <c r="A303" s="6">
        <v>301</v>
      </c>
      <c r="B303" s="6" t="str">
        <f>"220720191127110754215274"</f>
        <v>220720191127110754215274</v>
      </c>
      <c r="C303" s="6" t="s">
        <v>17</v>
      </c>
      <c r="D303" s="6" t="str">
        <f>"杨韵"</f>
        <v>杨韵</v>
      </c>
      <c r="E303" s="6" t="str">
        <f>"女"</f>
        <v>女</v>
      </c>
      <c r="F303" s="6" t="str">
        <f t="shared" si="53"/>
        <v>汉族</v>
      </c>
      <c r="G303" s="6" t="str">
        <f>"群众"</f>
        <v>群众</v>
      </c>
      <c r="H303" s="6" t="str">
        <f t="shared" si="54"/>
        <v>本科</v>
      </c>
      <c r="I303" s="6" t="str">
        <f>"电子商务"</f>
        <v>电子商务</v>
      </c>
    </row>
    <row r="304" s="2" customFormat="1" ht="20" customHeight="1" spans="1:9">
      <c r="A304" s="6">
        <v>302</v>
      </c>
      <c r="B304" s="6" t="str">
        <f>"220720191127111024215278"</f>
        <v>220720191127111024215278</v>
      </c>
      <c r="C304" s="6" t="s">
        <v>17</v>
      </c>
      <c r="D304" s="6" t="str">
        <f>"杨琳"</f>
        <v>杨琳</v>
      </c>
      <c r="E304" s="6" t="str">
        <f>"女"</f>
        <v>女</v>
      </c>
      <c r="F304" s="6" t="str">
        <f t="shared" si="53"/>
        <v>汉族</v>
      </c>
      <c r="G304" s="6" t="str">
        <f>"团员"</f>
        <v>团员</v>
      </c>
      <c r="H304" s="6" t="str">
        <f t="shared" si="54"/>
        <v>本科</v>
      </c>
      <c r="I304" s="6" t="str">
        <f>"旅游管理（高尔夫与休闲管理方向）"</f>
        <v>旅游管理（高尔夫与休闲管理方向）</v>
      </c>
    </row>
    <row r="305" s="2" customFormat="1" ht="20" customHeight="1" spans="1:9">
      <c r="A305" s="6">
        <v>303</v>
      </c>
      <c r="B305" s="6" t="str">
        <f>"220720191127111842215295"</f>
        <v>220720191127111842215295</v>
      </c>
      <c r="C305" s="6" t="s">
        <v>17</v>
      </c>
      <c r="D305" s="6" t="str">
        <f>"符晓"</f>
        <v>符晓</v>
      </c>
      <c r="E305" s="6" t="str">
        <f>"女"</f>
        <v>女</v>
      </c>
      <c r="F305" s="6" t="str">
        <f t="shared" ref="F305:F314" si="55">"汉族"</f>
        <v>汉族</v>
      </c>
      <c r="G305" s="6" t="str">
        <f>"群众"</f>
        <v>群众</v>
      </c>
      <c r="H305" s="6" t="str">
        <f t="shared" si="54"/>
        <v>本科</v>
      </c>
      <c r="I305" s="6" t="str">
        <f>"财务管理专业"</f>
        <v>财务管理专业</v>
      </c>
    </row>
    <row r="306" s="2" customFormat="1" ht="20" customHeight="1" spans="1:9">
      <c r="A306" s="6">
        <v>304</v>
      </c>
      <c r="B306" s="6" t="str">
        <f>"220720191127154704215658"</f>
        <v>220720191127154704215658</v>
      </c>
      <c r="C306" s="6" t="s">
        <v>17</v>
      </c>
      <c r="D306" s="6" t="str">
        <f>"杨茵"</f>
        <v>杨茵</v>
      </c>
      <c r="E306" s="6" t="str">
        <f>"女"</f>
        <v>女</v>
      </c>
      <c r="F306" s="6" t="str">
        <f t="shared" si="55"/>
        <v>汉族</v>
      </c>
      <c r="G306" s="6" t="str">
        <f>"中共党员"</f>
        <v>中共党员</v>
      </c>
      <c r="H306" s="6" t="str">
        <f t="shared" si="54"/>
        <v>本科</v>
      </c>
      <c r="I306" s="6" t="str">
        <f>"旅游管理"</f>
        <v>旅游管理</v>
      </c>
    </row>
    <row r="307" s="2" customFormat="1" ht="20" customHeight="1" spans="1:9">
      <c r="A307" s="6">
        <v>305</v>
      </c>
      <c r="B307" s="6" t="str">
        <f>"220720191127172326215819"</f>
        <v>220720191127172326215819</v>
      </c>
      <c r="C307" s="6" t="s">
        <v>17</v>
      </c>
      <c r="D307" s="6" t="str">
        <f>"全正君"</f>
        <v>全正君</v>
      </c>
      <c r="E307" s="6" t="str">
        <f>"男"</f>
        <v>男</v>
      </c>
      <c r="F307" s="6" t="str">
        <f t="shared" si="55"/>
        <v>汉族</v>
      </c>
      <c r="G307" s="6" t="str">
        <f>"群众"</f>
        <v>群众</v>
      </c>
      <c r="H307" s="6" t="str">
        <f t="shared" si="54"/>
        <v>本科</v>
      </c>
      <c r="I307" s="6" t="str">
        <f>"物流管理"</f>
        <v>物流管理</v>
      </c>
    </row>
    <row r="308" s="2" customFormat="1" ht="20" customHeight="1" spans="1:9">
      <c r="A308" s="6">
        <v>306</v>
      </c>
      <c r="B308" s="6" t="str">
        <f>"220720191127182504215898"</f>
        <v>220720191127182504215898</v>
      </c>
      <c r="C308" s="6" t="s">
        <v>17</v>
      </c>
      <c r="D308" s="6" t="str">
        <f>"陈雪婷"</f>
        <v>陈雪婷</v>
      </c>
      <c r="E308" s="6" t="str">
        <f>"女"</f>
        <v>女</v>
      </c>
      <c r="F308" s="6" t="str">
        <f t="shared" si="55"/>
        <v>汉族</v>
      </c>
      <c r="G308" s="6" t="str">
        <f>"中共党员"</f>
        <v>中共党员</v>
      </c>
      <c r="H308" s="6" t="str">
        <f t="shared" si="54"/>
        <v>本科</v>
      </c>
      <c r="I308" s="6" t="str">
        <f>"物流管理"</f>
        <v>物流管理</v>
      </c>
    </row>
    <row r="309" s="2" customFormat="1" ht="20" customHeight="1" spans="1:9">
      <c r="A309" s="6">
        <v>307</v>
      </c>
      <c r="B309" s="6" t="str">
        <f>"220720191127194031215974"</f>
        <v>220720191127194031215974</v>
      </c>
      <c r="C309" s="6" t="s">
        <v>17</v>
      </c>
      <c r="D309" s="6" t="str">
        <f>"林日东"</f>
        <v>林日东</v>
      </c>
      <c r="E309" s="6" t="str">
        <f>"男"</f>
        <v>男</v>
      </c>
      <c r="F309" s="6" t="str">
        <f t="shared" si="55"/>
        <v>汉族</v>
      </c>
      <c r="G309" s="6" t="str">
        <f>"群众"</f>
        <v>群众</v>
      </c>
      <c r="H309" s="6" t="str">
        <f t="shared" si="54"/>
        <v>本科</v>
      </c>
      <c r="I309" s="6" t="str">
        <f>"物流管理"</f>
        <v>物流管理</v>
      </c>
    </row>
    <row r="310" s="2" customFormat="1" ht="20" customHeight="1" spans="1:9">
      <c r="A310" s="6">
        <v>308</v>
      </c>
      <c r="B310" s="6" t="str">
        <f>"220720191128095506216425"</f>
        <v>220720191128095506216425</v>
      </c>
      <c r="C310" s="6" t="s">
        <v>17</v>
      </c>
      <c r="D310" s="6" t="str">
        <f>"韦玉女"</f>
        <v>韦玉女</v>
      </c>
      <c r="E310" s="6" t="str">
        <f>"女"</f>
        <v>女</v>
      </c>
      <c r="F310" s="6" t="str">
        <f t="shared" si="55"/>
        <v>汉族</v>
      </c>
      <c r="G310" s="6" t="str">
        <f>"团员"</f>
        <v>团员</v>
      </c>
      <c r="H310" s="6" t="str">
        <f t="shared" si="54"/>
        <v>本科</v>
      </c>
      <c r="I310" s="6" t="str">
        <f>"物流管理"</f>
        <v>物流管理</v>
      </c>
    </row>
    <row r="311" s="2" customFormat="1" ht="20" customHeight="1" spans="1:9">
      <c r="A311" s="6">
        <v>309</v>
      </c>
      <c r="B311" s="6" t="str">
        <f>"220720191128102143216466"</f>
        <v>220720191128102143216466</v>
      </c>
      <c r="C311" s="6" t="s">
        <v>17</v>
      </c>
      <c r="D311" s="6" t="str">
        <f>"李盈"</f>
        <v>李盈</v>
      </c>
      <c r="E311" s="6" t="str">
        <f>"男"</f>
        <v>男</v>
      </c>
      <c r="F311" s="6" t="str">
        <f t="shared" si="55"/>
        <v>汉族</v>
      </c>
      <c r="G311" s="6" t="str">
        <f>"群众"</f>
        <v>群众</v>
      </c>
      <c r="H311" s="6" t="str">
        <f t="shared" si="54"/>
        <v>本科</v>
      </c>
      <c r="I311" s="6" t="str">
        <f>"工商管理"</f>
        <v>工商管理</v>
      </c>
    </row>
    <row r="312" s="2" customFormat="1" ht="20" customHeight="1" spans="1:9">
      <c r="A312" s="6">
        <v>310</v>
      </c>
      <c r="B312" s="6" t="str">
        <f>"220720191128105323216507"</f>
        <v>220720191128105323216507</v>
      </c>
      <c r="C312" s="6" t="s">
        <v>17</v>
      </c>
      <c r="D312" s="6" t="str">
        <f>"王仙玉"</f>
        <v>王仙玉</v>
      </c>
      <c r="E312" s="6" t="str">
        <f>"女"</f>
        <v>女</v>
      </c>
      <c r="F312" s="6" t="str">
        <f t="shared" si="55"/>
        <v>汉族</v>
      </c>
      <c r="G312" s="6" t="str">
        <f>"群众"</f>
        <v>群众</v>
      </c>
      <c r="H312" s="6" t="str">
        <f t="shared" si="54"/>
        <v>本科</v>
      </c>
      <c r="I312" s="6" t="str">
        <f>"物流管理"</f>
        <v>物流管理</v>
      </c>
    </row>
    <row r="313" s="2" customFormat="1" ht="20" customHeight="1" spans="1:9">
      <c r="A313" s="6">
        <v>311</v>
      </c>
      <c r="B313" s="6" t="str">
        <f>"220720191128105913216514"</f>
        <v>220720191128105913216514</v>
      </c>
      <c r="C313" s="6" t="s">
        <v>17</v>
      </c>
      <c r="D313" s="6" t="str">
        <f>"孙乙齐"</f>
        <v>孙乙齐</v>
      </c>
      <c r="E313" s="6" t="str">
        <f>"女"</f>
        <v>女</v>
      </c>
      <c r="F313" s="6" t="str">
        <f t="shared" si="55"/>
        <v>汉族</v>
      </c>
      <c r="G313" s="6" t="str">
        <f>"群众"</f>
        <v>群众</v>
      </c>
      <c r="H313" s="6" t="str">
        <f t="shared" si="54"/>
        <v>本科</v>
      </c>
      <c r="I313" s="6" t="str">
        <f>"物流管理"</f>
        <v>物流管理</v>
      </c>
    </row>
    <row r="314" s="2" customFormat="1" ht="20" customHeight="1" spans="1:9">
      <c r="A314" s="6">
        <v>312</v>
      </c>
      <c r="B314" s="6" t="str">
        <f>"220720191128123707216641"</f>
        <v>220720191128123707216641</v>
      </c>
      <c r="C314" s="6" t="s">
        <v>17</v>
      </c>
      <c r="D314" s="6" t="str">
        <f>"韩杰"</f>
        <v>韩杰</v>
      </c>
      <c r="E314" s="6" t="str">
        <f>"男"</f>
        <v>男</v>
      </c>
      <c r="F314" s="6" t="str">
        <f t="shared" si="55"/>
        <v>汉族</v>
      </c>
      <c r="G314" s="6" t="str">
        <f>"团员"</f>
        <v>团员</v>
      </c>
      <c r="H314" s="6" t="str">
        <f t="shared" si="54"/>
        <v>本科</v>
      </c>
      <c r="I314" s="6" t="str">
        <f>"物流工程专业"</f>
        <v>物流工程专业</v>
      </c>
    </row>
    <row r="315" s="2" customFormat="1" ht="20" customHeight="1" spans="1:9">
      <c r="A315" s="6">
        <v>313</v>
      </c>
      <c r="B315" s="6" t="str">
        <f>"220720191128162127216943"</f>
        <v>220720191128162127216943</v>
      </c>
      <c r="C315" s="6" t="s">
        <v>17</v>
      </c>
      <c r="D315" s="6" t="str">
        <f>"高翠苗"</f>
        <v>高翠苗</v>
      </c>
      <c r="E315" s="6" t="str">
        <f>"女"</f>
        <v>女</v>
      </c>
      <c r="F315" s="6" t="str">
        <f t="shared" ref="F315:F324" si="56">"汉族"</f>
        <v>汉族</v>
      </c>
      <c r="G315" s="6" t="str">
        <f>"群众"</f>
        <v>群众</v>
      </c>
      <c r="H315" s="6" t="str">
        <f t="shared" si="54"/>
        <v>本科</v>
      </c>
      <c r="I315" s="6" t="str">
        <f>"会计学"</f>
        <v>会计学</v>
      </c>
    </row>
    <row r="316" s="2" customFormat="1" ht="20" customHeight="1" spans="1:9">
      <c r="A316" s="6">
        <v>314</v>
      </c>
      <c r="B316" s="6" t="str">
        <f>"220720191128181521217058"</f>
        <v>220720191128181521217058</v>
      </c>
      <c r="C316" s="6" t="s">
        <v>17</v>
      </c>
      <c r="D316" s="6" t="str">
        <f>"邝才林"</f>
        <v>邝才林</v>
      </c>
      <c r="E316" s="6" t="str">
        <f>"女"</f>
        <v>女</v>
      </c>
      <c r="F316" s="6" t="str">
        <f t="shared" si="56"/>
        <v>汉族</v>
      </c>
      <c r="G316" s="6" t="str">
        <f>"团员"</f>
        <v>团员</v>
      </c>
      <c r="H316" s="6" t="str">
        <f t="shared" si="54"/>
        <v>本科</v>
      </c>
      <c r="I316" s="6" t="str">
        <f>"物流管理"</f>
        <v>物流管理</v>
      </c>
    </row>
    <row r="317" s="2" customFormat="1" ht="20" customHeight="1" spans="1:9">
      <c r="A317" s="6">
        <v>315</v>
      </c>
      <c r="B317" s="6" t="str">
        <f>"220720191128213627217202"</f>
        <v>220720191128213627217202</v>
      </c>
      <c r="C317" s="6" t="s">
        <v>17</v>
      </c>
      <c r="D317" s="6" t="str">
        <f>"黄昌华"</f>
        <v>黄昌华</v>
      </c>
      <c r="E317" s="6" t="str">
        <f>"男"</f>
        <v>男</v>
      </c>
      <c r="F317" s="6" t="str">
        <f t="shared" si="56"/>
        <v>汉族</v>
      </c>
      <c r="G317" s="6" t="str">
        <f>"中共党员"</f>
        <v>中共党员</v>
      </c>
      <c r="H317" s="6" t="str">
        <f t="shared" si="54"/>
        <v>本科</v>
      </c>
      <c r="I317" s="6" t="str">
        <f>"旅游管理"</f>
        <v>旅游管理</v>
      </c>
    </row>
    <row r="318" s="2" customFormat="1" ht="20" customHeight="1" spans="1:9">
      <c r="A318" s="6">
        <v>316</v>
      </c>
      <c r="B318" s="6" t="str">
        <f>"220720191129082802217317"</f>
        <v>220720191129082802217317</v>
      </c>
      <c r="C318" s="6" t="s">
        <v>17</v>
      </c>
      <c r="D318" s="6" t="str">
        <f>"苏小芹"</f>
        <v>苏小芹</v>
      </c>
      <c r="E318" s="6" t="str">
        <f>"女"</f>
        <v>女</v>
      </c>
      <c r="F318" s="6" t="str">
        <f t="shared" si="56"/>
        <v>汉族</v>
      </c>
      <c r="G318" s="6" t="str">
        <f>"群众"</f>
        <v>群众</v>
      </c>
      <c r="H318" s="6" t="str">
        <f t="shared" si="54"/>
        <v>本科</v>
      </c>
      <c r="I318" s="6" t="str">
        <f>"会计学"</f>
        <v>会计学</v>
      </c>
    </row>
    <row r="319" s="2" customFormat="1" ht="20" customHeight="1" spans="1:9">
      <c r="A319" s="6">
        <v>317</v>
      </c>
      <c r="B319" s="6" t="str">
        <f>"220720191129102213217348"</f>
        <v>220720191129102213217348</v>
      </c>
      <c r="C319" s="6" t="s">
        <v>17</v>
      </c>
      <c r="D319" s="6" t="str">
        <f>"张余裕"</f>
        <v>张余裕</v>
      </c>
      <c r="E319" s="6" t="str">
        <f>"男"</f>
        <v>男</v>
      </c>
      <c r="F319" s="6" t="str">
        <f t="shared" si="56"/>
        <v>汉族</v>
      </c>
      <c r="G319" s="6" t="str">
        <f>"群众"</f>
        <v>群众</v>
      </c>
      <c r="H319" s="6" t="str">
        <f t="shared" si="54"/>
        <v>本科</v>
      </c>
      <c r="I319" s="6" t="str">
        <f>"市场营销"</f>
        <v>市场营销</v>
      </c>
    </row>
    <row r="320" s="2" customFormat="1" ht="20" customHeight="1" spans="1:9">
      <c r="A320" s="6">
        <v>318</v>
      </c>
      <c r="B320" s="6" t="str">
        <f>"220720191129102755216916"</f>
        <v>220720191129102755216916</v>
      </c>
      <c r="C320" s="6" t="s">
        <v>17</v>
      </c>
      <c r="D320" s="6" t="str">
        <f>"曾元"</f>
        <v>曾元</v>
      </c>
      <c r="E320" s="6" t="str">
        <f>"女"</f>
        <v>女</v>
      </c>
      <c r="F320" s="6" t="str">
        <f t="shared" si="56"/>
        <v>汉族</v>
      </c>
      <c r="G320" s="6" t="str">
        <f>"群众"</f>
        <v>群众</v>
      </c>
      <c r="H320" s="6" t="str">
        <f t="shared" si="54"/>
        <v>本科</v>
      </c>
      <c r="I320" s="6" t="str">
        <f>"财务管理"</f>
        <v>财务管理</v>
      </c>
    </row>
    <row r="321" s="2" customFormat="1" ht="20" customHeight="1" spans="1:9">
      <c r="A321" s="6">
        <v>319</v>
      </c>
      <c r="B321" s="6" t="str">
        <f>"220720191129104636216911"</f>
        <v>220720191129104636216911</v>
      </c>
      <c r="C321" s="6" t="s">
        <v>17</v>
      </c>
      <c r="D321" s="6" t="str">
        <f>"李佳玲"</f>
        <v>李佳玲</v>
      </c>
      <c r="E321" s="6" t="str">
        <f>"女"</f>
        <v>女</v>
      </c>
      <c r="F321" s="6" t="str">
        <f t="shared" si="56"/>
        <v>汉族</v>
      </c>
      <c r="G321" s="6" t="str">
        <f>"团员"</f>
        <v>团员</v>
      </c>
      <c r="H321" s="6" t="str">
        <f t="shared" si="54"/>
        <v>本科</v>
      </c>
      <c r="I321" s="6" t="str">
        <f>"物流管理"</f>
        <v>物流管理</v>
      </c>
    </row>
    <row r="322" s="2" customFormat="1" ht="20" customHeight="1" spans="1:9">
      <c r="A322" s="6">
        <v>320</v>
      </c>
      <c r="B322" s="6" t="str">
        <f>"220720191129111220217447"</f>
        <v>220720191129111220217447</v>
      </c>
      <c r="C322" s="6" t="s">
        <v>17</v>
      </c>
      <c r="D322" s="6" t="str">
        <f>"何帆"</f>
        <v>何帆</v>
      </c>
      <c r="E322" s="6" t="str">
        <f>"男"</f>
        <v>男</v>
      </c>
      <c r="F322" s="6" t="str">
        <f t="shared" si="56"/>
        <v>汉族</v>
      </c>
      <c r="G322" s="6" t="str">
        <f>"群众"</f>
        <v>群众</v>
      </c>
      <c r="H322" s="6" t="str">
        <f t="shared" si="54"/>
        <v>本科</v>
      </c>
      <c r="I322" s="6" t="str">
        <f>"财务管理"</f>
        <v>财务管理</v>
      </c>
    </row>
    <row r="323" s="2" customFormat="1" ht="20" customHeight="1" spans="1:9">
      <c r="A323" s="6">
        <v>321</v>
      </c>
      <c r="B323" s="6" t="str">
        <f>"220720191130092055217186"</f>
        <v>220720191130092055217186</v>
      </c>
      <c r="C323" s="6" t="s">
        <v>17</v>
      </c>
      <c r="D323" s="6" t="str">
        <f>"徐小刚"</f>
        <v>徐小刚</v>
      </c>
      <c r="E323" s="6" t="str">
        <f>"男"</f>
        <v>男</v>
      </c>
      <c r="F323" s="6" t="str">
        <f t="shared" si="56"/>
        <v>汉族</v>
      </c>
      <c r="G323" s="6" t="str">
        <f>"预备党员"</f>
        <v>预备党员</v>
      </c>
      <c r="H323" s="6" t="str">
        <f t="shared" si="54"/>
        <v>本科</v>
      </c>
      <c r="I323" s="6" t="str">
        <f>"会计学"</f>
        <v>会计学</v>
      </c>
    </row>
    <row r="324" s="2" customFormat="1" ht="20" customHeight="1" spans="1:9">
      <c r="A324" s="6">
        <v>322</v>
      </c>
      <c r="B324" s="6" t="str">
        <f>"220720191130112645217999"</f>
        <v>220720191130112645217999</v>
      </c>
      <c r="C324" s="6" t="s">
        <v>17</v>
      </c>
      <c r="D324" s="6" t="str">
        <f>"李以虹"</f>
        <v>李以虹</v>
      </c>
      <c r="E324" s="6" t="str">
        <f>"女"</f>
        <v>女</v>
      </c>
      <c r="F324" s="6" t="str">
        <f t="shared" si="56"/>
        <v>汉族</v>
      </c>
      <c r="G324" s="6" t="str">
        <f>"中共党员"</f>
        <v>中共党员</v>
      </c>
      <c r="H324" s="6" t="str">
        <f t="shared" si="54"/>
        <v>本科</v>
      </c>
      <c r="I324" s="6" t="str">
        <f>"市场营销"</f>
        <v>市场营销</v>
      </c>
    </row>
    <row r="325" s="2" customFormat="1" ht="20" customHeight="1" spans="1:9">
      <c r="A325" s="6">
        <v>323</v>
      </c>
      <c r="B325" s="6" t="str">
        <f>"220720191201131608218320"</f>
        <v>220720191201131608218320</v>
      </c>
      <c r="C325" s="6" t="s">
        <v>17</v>
      </c>
      <c r="D325" s="6" t="str">
        <f>"陈婷婷"</f>
        <v>陈婷婷</v>
      </c>
      <c r="E325" s="6" t="str">
        <f>"女"</f>
        <v>女</v>
      </c>
      <c r="F325" s="6" t="str">
        <f t="shared" ref="F325:F337" si="57">"汉族"</f>
        <v>汉族</v>
      </c>
      <c r="G325" s="6" t="str">
        <f>"群众"</f>
        <v>群众</v>
      </c>
      <c r="H325" s="6" t="str">
        <f t="shared" si="54"/>
        <v>本科</v>
      </c>
      <c r="I325" s="6" t="str">
        <f>"会计学"</f>
        <v>会计学</v>
      </c>
    </row>
    <row r="326" s="2" customFormat="1" ht="20" customHeight="1" spans="1:9">
      <c r="A326" s="6">
        <v>324</v>
      </c>
      <c r="B326" s="6" t="str">
        <f>"220720191201221352218415"</f>
        <v>220720191201221352218415</v>
      </c>
      <c r="C326" s="6" t="s">
        <v>17</v>
      </c>
      <c r="D326" s="6" t="str">
        <f>"陈昌炽"</f>
        <v>陈昌炽</v>
      </c>
      <c r="E326" s="6" t="str">
        <f>"男"</f>
        <v>男</v>
      </c>
      <c r="F326" s="6" t="str">
        <f t="shared" si="57"/>
        <v>汉族</v>
      </c>
      <c r="G326" s="6" t="str">
        <f>"中共党员"</f>
        <v>中共党员</v>
      </c>
      <c r="H326" s="6" t="str">
        <f t="shared" si="54"/>
        <v>本科</v>
      </c>
      <c r="I326" s="6" t="str">
        <f>"物流管理"</f>
        <v>物流管理</v>
      </c>
    </row>
    <row r="327" s="2" customFormat="1" ht="20" customHeight="1" spans="1:9">
      <c r="A327" s="6">
        <v>325</v>
      </c>
      <c r="B327" s="6" t="str">
        <f>"220720191201232031218433"</f>
        <v>220720191201232031218433</v>
      </c>
      <c r="C327" s="6" t="s">
        <v>17</v>
      </c>
      <c r="D327" s="6" t="str">
        <f>"胡莉婷"</f>
        <v>胡莉婷</v>
      </c>
      <c r="E327" s="6" t="str">
        <f>"女"</f>
        <v>女</v>
      </c>
      <c r="F327" s="6" t="str">
        <f t="shared" si="57"/>
        <v>汉族</v>
      </c>
      <c r="G327" s="6" t="str">
        <f>"群众"</f>
        <v>群众</v>
      </c>
      <c r="H327" s="6" t="str">
        <f t="shared" si="54"/>
        <v>本科</v>
      </c>
      <c r="I327" s="6" t="str">
        <f>"物流管理"</f>
        <v>物流管理</v>
      </c>
    </row>
    <row r="328" s="2" customFormat="1" ht="20" customHeight="1" spans="1:9">
      <c r="A328" s="6">
        <v>326</v>
      </c>
      <c r="B328" s="6" t="str">
        <f>"220720191202103515213267"</f>
        <v>220720191202103515213267</v>
      </c>
      <c r="C328" s="6" t="s">
        <v>17</v>
      </c>
      <c r="D328" s="6" t="str">
        <f>"符芳蕾"</f>
        <v>符芳蕾</v>
      </c>
      <c r="E328" s="6" t="str">
        <f>"女"</f>
        <v>女</v>
      </c>
      <c r="F328" s="6" t="str">
        <f t="shared" si="57"/>
        <v>汉族</v>
      </c>
      <c r="G328" s="6" t="str">
        <f>"团员"</f>
        <v>团员</v>
      </c>
      <c r="H328" s="6" t="str">
        <f t="shared" si="54"/>
        <v>本科</v>
      </c>
      <c r="I328" s="6" t="str">
        <f>"物流管理"</f>
        <v>物流管理</v>
      </c>
    </row>
    <row r="329" s="2" customFormat="1" ht="20" customHeight="1" spans="1:9">
      <c r="A329" s="6">
        <v>327</v>
      </c>
      <c r="B329" s="6" t="str">
        <f>"220720191202112938218606"</f>
        <v>220720191202112938218606</v>
      </c>
      <c r="C329" s="6" t="s">
        <v>17</v>
      </c>
      <c r="D329" s="6" t="str">
        <f>"吴雯茜"</f>
        <v>吴雯茜</v>
      </c>
      <c r="E329" s="6" t="str">
        <f>"女"</f>
        <v>女</v>
      </c>
      <c r="F329" s="6" t="str">
        <f t="shared" si="57"/>
        <v>汉族</v>
      </c>
      <c r="G329" s="6" t="str">
        <f>"群众"</f>
        <v>群众</v>
      </c>
      <c r="H329" s="6" t="str">
        <f t="shared" si="54"/>
        <v>本科</v>
      </c>
      <c r="I329" s="6" t="str">
        <f>"物流工程"</f>
        <v>物流工程</v>
      </c>
    </row>
    <row r="330" s="2" customFormat="1" ht="20" customHeight="1" spans="1:9">
      <c r="A330" s="6">
        <v>328</v>
      </c>
      <c r="B330" s="6" t="str">
        <f>"220720191202141225218687"</f>
        <v>220720191202141225218687</v>
      </c>
      <c r="C330" s="6" t="s">
        <v>17</v>
      </c>
      <c r="D330" s="6" t="str">
        <f>"潘国一"</f>
        <v>潘国一</v>
      </c>
      <c r="E330" s="6" t="str">
        <f>"男"</f>
        <v>男</v>
      </c>
      <c r="F330" s="6" t="str">
        <f t="shared" si="57"/>
        <v>汉族</v>
      </c>
      <c r="G330" s="6" t="str">
        <f>"团员"</f>
        <v>团员</v>
      </c>
      <c r="H330" s="6" t="str">
        <f t="shared" si="54"/>
        <v>本科</v>
      </c>
      <c r="I330" s="6" t="str">
        <f>"物流管理"</f>
        <v>物流管理</v>
      </c>
    </row>
    <row r="331" s="2" customFormat="1" ht="20" customHeight="1" spans="1:9">
      <c r="A331" s="6">
        <v>329</v>
      </c>
      <c r="B331" s="6" t="str">
        <f>"220720191202155345218753"</f>
        <v>220720191202155345218753</v>
      </c>
      <c r="C331" s="6" t="s">
        <v>17</v>
      </c>
      <c r="D331" s="6" t="str">
        <f>"蔡静"</f>
        <v>蔡静</v>
      </c>
      <c r="E331" s="6" t="str">
        <f>"女"</f>
        <v>女</v>
      </c>
      <c r="F331" s="6" t="str">
        <f t="shared" si="57"/>
        <v>汉族</v>
      </c>
      <c r="G331" s="6" t="str">
        <f>"团员"</f>
        <v>团员</v>
      </c>
      <c r="H331" s="6" t="str">
        <f t="shared" si="54"/>
        <v>本科</v>
      </c>
      <c r="I331" s="6" t="str">
        <f>"物流管理"</f>
        <v>物流管理</v>
      </c>
    </row>
    <row r="332" s="2" customFormat="1" ht="20" customHeight="1" spans="1:9">
      <c r="A332" s="6">
        <v>330</v>
      </c>
      <c r="B332" s="6" t="str">
        <f>"220720191126090031212988"</f>
        <v>220720191126090031212988</v>
      </c>
      <c r="C332" s="6" t="s">
        <v>18</v>
      </c>
      <c r="D332" s="6" t="str">
        <f>"周克琦"</f>
        <v>周克琦</v>
      </c>
      <c r="E332" s="6" t="str">
        <f>"男"</f>
        <v>男</v>
      </c>
      <c r="F332" s="6" t="str">
        <f t="shared" si="57"/>
        <v>汉族</v>
      </c>
      <c r="G332" s="6" t="str">
        <f>"群众"</f>
        <v>群众</v>
      </c>
      <c r="H332" s="6" t="str">
        <f t="shared" si="54"/>
        <v>本科</v>
      </c>
      <c r="I332" s="6" t="str">
        <f>"环境科学"</f>
        <v>环境科学</v>
      </c>
    </row>
    <row r="333" s="2" customFormat="1" ht="20" customHeight="1" spans="1:9">
      <c r="A333" s="6">
        <v>331</v>
      </c>
      <c r="B333" s="6" t="str">
        <f>"220720191126090457213008"</f>
        <v>220720191126090457213008</v>
      </c>
      <c r="C333" s="6" t="s">
        <v>18</v>
      </c>
      <c r="D333" s="6" t="str">
        <f>"李茂文"</f>
        <v>李茂文</v>
      </c>
      <c r="E333" s="6" t="str">
        <f>"男"</f>
        <v>男</v>
      </c>
      <c r="F333" s="6" t="str">
        <f t="shared" si="57"/>
        <v>汉族</v>
      </c>
      <c r="G333" s="6" t="str">
        <f>"团员"</f>
        <v>团员</v>
      </c>
      <c r="H333" s="6" t="str">
        <f t="shared" si="54"/>
        <v>本科</v>
      </c>
      <c r="I333" s="6" t="str">
        <f>"环境工程"</f>
        <v>环境工程</v>
      </c>
    </row>
    <row r="334" s="2" customFormat="1" ht="20" customHeight="1" spans="1:9">
      <c r="A334" s="6">
        <v>332</v>
      </c>
      <c r="B334" s="6" t="str">
        <f>"220720191126090738213026"</f>
        <v>220720191126090738213026</v>
      </c>
      <c r="C334" s="6" t="s">
        <v>18</v>
      </c>
      <c r="D334" s="6" t="str">
        <f>"郭教映"</f>
        <v>郭教映</v>
      </c>
      <c r="E334" s="6" t="str">
        <f>"男"</f>
        <v>男</v>
      </c>
      <c r="F334" s="6" t="str">
        <f t="shared" si="57"/>
        <v>汉族</v>
      </c>
      <c r="G334" s="6" t="str">
        <f>"群众"</f>
        <v>群众</v>
      </c>
      <c r="H334" s="6" t="str">
        <f t="shared" si="54"/>
        <v>本科</v>
      </c>
      <c r="I334" s="6" t="str">
        <f>"环境工程"</f>
        <v>环境工程</v>
      </c>
    </row>
    <row r="335" s="2" customFormat="1" ht="20" customHeight="1" spans="1:9">
      <c r="A335" s="6">
        <v>333</v>
      </c>
      <c r="B335" s="6" t="str">
        <f>"220720191126091028213036"</f>
        <v>220720191126091028213036</v>
      </c>
      <c r="C335" s="6" t="s">
        <v>18</v>
      </c>
      <c r="D335" s="6" t="str">
        <f>"黄辉辉"</f>
        <v>黄辉辉</v>
      </c>
      <c r="E335" s="6" t="str">
        <f>"男"</f>
        <v>男</v>
      </c>
      <c r="F335" s="6" t="str">
        <f t="shared" si="57"/>
        <v>汉族</v>
      </c>
      <c r="G335" s="6" t="str">
        <f>"群众"</f>
        <v>群众</v>
      </c>
      <c r="H335" s="6" t="str">
        <f t="shared" si="54"/>
        <v>本科</v>
      </c>
      <c r="I335" s="6" t="str">
        <f>"环境科学"</f>
        <v>环境科学</v>
      </c>
    </row>
    <row r="336" s="2" customFormat="1" ht="20" customHeight="1" spans="1:9">
      <c r="A336" s="6">
        <v>334</v>
      </c>
      <c r="B336" s="6" t="str">
        <f>"220720191126092818213106"</f>
        <v>220720191126092818213106</v>
      </c>
      <c r="C336" s="6" t="s">
        <v>18</v>
      </c>
      <c r="D336" s="6" t="str">
        <f>"文秀改"</f>
        <v>文秀改</v>
      </c>
      <c r="E336" s="6" t="str">
        <f>"女"</f>
        <v>女</v>
      </c>
      <c r="F336" s="6" t="str">
        <f t="shared" si="57"/>
        <v>汉族</v>
      </c>
      <c r="G336" s="6" t="str">
        <f>"群众"</f>
        <v>群众</v>
      </c>
      <c r="H336" s="6" t="str">
        <f t="shared" si="54"/>
        <v>本科</v>
      </c>
      <c r="I336" s="6" t="str">
        <f>"环境工程"</f>
        <v>环境工程</v>
      </c>
    </row>
    <row r="337" s="2" customFormat="1" ht="20" customHeight="1" spans="1:9">
      <c r="A337" s="6">
        <v>335</v>
      </c>
      <c r="B337" s="6" t="str">
        <f>"220720191126093835213165"</f>
        <v>220720191126093835213165</v>
      </c>
      <c r="C337" s="6" t="s">
        <v>18</v>
      </c>
      <c r="D337" s="6" t="str">
        <f>"王佳佳"</f>
        <v>王佳佳</v>
      </c>
      <c r="E337" s="6" t="str">
        <f>"女"</f>
        <v>女</v>
      </c>
      <c r="F337" s="6" t="str">
        <f t="shared" si="57"/>
        <v>汉族</v>
      </c>
      <c r="G337" s="6" t="str">
        <f>"中共党员"</f>
        <v>中共党员</v>
      </c>
      <c r="H337" s="6" t="str">
        <f t="shared" si="54"/>
        <v>本科</v>
      </c>
      <c r="I337" s="6" t="str">
        <f>"环境科学"</f>
        <v>环境科学</v>
      </c>
    </row>
    <row r="338" s="2" customFormat="1" ht="20" customHeight="1" spans="1:9">
      <c r="A338" s="6">
        <v>336</v>
      </c>
      <c r="B338" s="6" t="str">
        <f>"220720191126095814213248"</f>
        <v>220720191126095814213248</v>
      </c>
      <c r="C338" s="6" t="s">
        <v>18</v>
      </c>
      <c r="D338" s="6" t="str">
        <f>"李娜"</f>
        <v>李娜</v>
      </c>
      <c r="E338" s="6" t="str">
        <f>"女"</f>
        <v>女</v>
      </c>
      <c r="F338" s="6" t="str">
        <f>"黎族"</f>
        <v>黎族</v>
      </c>
      <c r="G338" s="6" t="str">
        <f>"群众"</f>
        <v>群众</v>
      </c>
      <c r="H338" s="6" t="str">
        <f t="shared" si="54"/>
        <v>本科</v>
      </c>
      <c r="I338" s="6" t="str">
        <f>"环境科学"</f>
        <v>环境科学</v>
      </c>
    </row>
    <row r="339" s="2" customFormat="1" ht="20" customHeight="1" spans="1:9">
      <c r="A339" s="6">
        <v>337</v>
      </c>
      <c r="B339" s="6" t="str">
        <f>"220720191126101329213314"</f>
        <v>220720191126101329213314</v>
      </c>
      <c r="C339" s="6" t="s">
        <v>18</v>
      </c>
      <c r="D339" s="6" t="str">
        <f>"曾繁宏"</f>
        <v>曾繁宏</v>
      </c>
      <c r="E339" s="6" t="str">
        <f>"男"</f>
        <v>男</v>
      </c>
      <c r="F339" s="6" t="str">
        <f>"黎族"</f>
        <v>黎族</v>
      </c>
      <c r="G339" s="6" t="str">
        <f>"中共党员"</f>
        <v>中共党员</v>
      </c>
      <c r="H339" s="6" t="str">
        <f t="shared" si="54"/>
        <v>本科</v>
      </c>
      <c r="I339" s="6" t="str">
        <f>"环境科学"</f>
        <v>环境科学</v>
      </c>
    </row>
    <row r="340" s="2" customFormat="1" ht="20" customHeight="1" spans="1:9">
      <c r="A340" s="6">
        <v>338</v>
      </c>
      <c r="B340" s="6" t="str">
        <f>"220720191126102145213343"</f>
        <v>220720191126102145213343</v>
      </c>
      <c r="C340" s="6" t="s">
        <v>18</v>
      </c>
      <c r="D340" s="6" t="str">
        <f>"吉紫倩"</f>
        <v>吉紫倩</v>
      </c>
      <c r="E340" s="6" t="str">
        <f t="shared" ref="E340:E345" si="58">"女"</f>
        <v>女</v>
      </c>
      <c r="F340" s="6" t="str">
        <f>"黎族"</f>
        <v>黎族</v>
      </c>
      <c r="G340" s="6" t="str">
        <f>"团员"</f>
        <v>团员</v>
      </c>
      <c r="H340" s="6" t="str">
        <f t="shared" si="54"/>
        <v>本科</v>
      </c>
      <c r="I340" s="6" t="str">
        <f>"环境工程专业"</f>
        <v>环境工程专业</v>
      </c>
    </row>
    <row r="341" s="2" customFormat="1" ht="20" customHeight="1" spans="1:9">
      <c r="A341" s="6">
        <v>339</v>
      </c>
      <c r="B341" s="6" t="str">
        <f>"220720191126105028213443"</f>
        <v>220720191126105028213443</v>
      </c>
      <c r="C341" s="6" t="s">
        <v>18</v>
      </c>
      <c r="D341" s="6" t="str">
        <f>"曾招果"</f>
        <v>曾招果</v>
      </c>
      <c r="E341" s="6" t="str">
        <f t="shared" si="58"/>
        <v>女</v>
      </c>
      <c r="F341" s="6" t="str">
        <f t="shared" ref="F341:F352" si="59">"汉族"</f>
        <v>汉族</v>
      </c>
      <c r="G341" s="6" t="str">
        <f>"群众"</f>
        <v>群众</v>
      </c>
      <c r="H341" s="6" t="str">
        <f t="shared" si="54"/>
        <v>本科</v>
      </c>
      <c r="I341" s="6" t="str">
        <f>"环境工程"</f>
        <v>环境工程</v>
      </c>
    </row>
    <row r="342" s="2" customFormat="1" ht="20" customHeight="1" spans="1:9">
      <c r="A342" s="6">
        <v>340</v>
      </c>
      <c r="B342" s="6" t="str">
        <f>"220720191126105832213470"</f>
        <v>220720191126105832213470</v>
      </c>
      <c r="C342" s="6" t="s">
        <v>18</v>
      </c>
      <c r="D342" s="6" t="str">
        <f>"李丁琼"</f>
        <v>李丁琼</v>
      </c>
      <c r="E342" s="6" t="str">
        <f t="shared" si="58"/>
        <v>女</v>
      </c>
      <c r="F342" s="6" t="str">
        <f t="shared" si="59"/>
        <v>汉族</v>
      </c>
      <c r="G342" s="6" t="str">
        <f>"团员"</f>
        <v>团员</v>
      </c>
      <c r="H342" s="6" t="str">
        <f t="shared" si="54"/>
        <v>本科</v>
      </c>
      <c r="I342" s="6" t="str">
        <f>"环境工程"</f>
        <v>环境工程</v>
      </c>
    </row>
    <row r="343" s="2" customFormat="1" ht="20" customHeight="1" spans="1:9">
      <c r="A343" s="6">
        <v>341</v>
      </c>
      <c r="B343" s="6" t="str">
        <f>"220720191126114512213622"</f>
        <v>220720191126114512213622</v>
      </c>
      <c r="C343" s="6" t="s">
        <v>18</v>
      </c>
      <c r="D343" s="6" t="str">
        <f>"李洋洋"</f>
        <v>李洋洋</v>
      </c>
      <c r="E343" s="6" t="str">
        <f t="shared" si="58"/>
        <v>女</v>
      </c>
      <c r="F343" s="6" t="str">
        <f t="shared" si="59"/>
        <v>汉族</v>
      </c>
      <c r="G343" s="6" t="str">
        <f>"中共党员"</f>
        <v>中共党员</v>
      </c>
      <c r="H343" s="6" t="str">
        <f>"研究生"</f>
        <v>研究生</v>
      </c>
      <c r="I343" s="6" t="str">
        <f>"环境科学专业"</f>
        <v>环境科学专业</v>
      </c>
    </row>
    <row r="344" s="2" customFormat="1" ht="20" customHeight="1" spans="1:9">
      <c r="A344" s="6">
        <v>342</v>
      </c>
      <c r="B344" s="6" t="str">
        <f>"220720191126123515213728"</f>
        <v>220720191126123515213728</v>
      </c>
      <c r="C344" s="6" t="s">
        <v>18</v>
      </c>
      <c r="D344" s="6" t="str">
        <f>"黄丹"</f>
        <v>黄丹</v>
      </c>
      <c r="E344" s="6" t="str">
        <f t="shared" si="58"/>
        <v>女</v>
      </c>
      <c r="F344" s="6" t="str">
        <f t="shared" si="59"/>
        <v>汉族</v>
      </c>
      <c r="G344" s="6" t="str">
        <f t="shared" ref="G344:G354" si="60">"群众"</f>
        <v>群众</v>
      </c>
      <c r="H344" s="6" t="str">
        <f t="shared" ref="H344:H358" si="61">"本科"</f>
        <v>本科</v>
      </c>
      <c r="I344" s="6" t="str">
        <f>"环境科学"</f>
        <v>环境科学</v>
      </c>
    </row>
    <row r="345" s="2" customFormat="1" ht="20" customHeight="1" spans="1:9">
      <c r="A345" s="6">
        <v>343</v>
      </c>
      <c r="B345" s="6" t="str">
        <f>"220720191126160223214151"</f>
        <v>220720191126160223214151</v>
      </c>
      <c r="C345" s="6" t="s">
        <v>18</v>
      </c>
      <c r="D345" s="6" t="str">
        <f>"张斐斐"</f>
        <v>张斐斐</v>
      </c>
      <c r="E345" s="6" t="str">
        <f t="shared" si="58"/>
        <v>女</v>
      </c>
      <c r="F345" s="6" t="str">
        <f t="shared" si="59"/>
        <v>汉族</v>
      </c>
      <c r="G345" s="6" t="str">
        <f t="shared" si="60"/>
        <v>群众</v>
      </c>
      <c r="H345" s="6" t="str">
        <f t="shared" si="61"/>
        <v>本科</v>
      </c>
      <c r="I345" s="6" t="str">
        <f>"环境工程"</f>
        <v>环境工程</v>
      </c>
    </row>
    <row r="346" s="2" customFormat="1" ht="20" customHeight="1" spans="1:9">
      <c r="A346" s="6">
        <v>344</v>
      </c>
      <c r="B346" s="6" t="str">
        <f>"220720191126212305214766"</f>
        <v>220720191126212305214766</v>
      </c>
      <c r="C346" s="6" t="s">
        <v>18</v>
      </c>
      <c r="D346" s="6" t="str">
        <f>"文明伟"</f>
        <v>文明伟</v>
      </c>
      <c r="E346" s="6" t="str">
        <f>"男"</f>
        <v>男</v>
      </c>
      <c r="F346" s="6" t="str">
        <f t="shared" si="59"/>
        <v>汉族</v>
      </c>
      <c r="G346" s="6" t="str">
        <f t="shared" si="60"/>
        <v>群众</v>
      </c>
      <c r="H346" s="6" t="str">
        <f t="shared" si="61"/>
        <v>本科</v>
      </c>
      <c r="I346" s="6" t="str">
        <f>"环境科学"</f>
        <v>环境科学</v>
      </c>
    </row>
    <row r="347" s="2" customFormat="1" ht="20" customHeight="1" spans="1:9">
      <c r="A347" s="6">
        <v>345</v>
      </c>
      <c r="B347" s="6" t="str">
        <f>"220720191126220459214837"</f>
        <v>220720191126220459214837</v>
      </c>
      <c r="C347" s="6" t="s">
        <v>18</v>
      </c>
      <c r="D347" s="6" t="str">
        <f>"赵良冲"</f>
        <v>赵良冲</v>
      </c>
      <c r="E347" s="6" t="str">
        <f>"男"</f>
        <v>男</v>
      </c>
      <c r="F347" s="6" t="str">
        <f t="shared" si="59"/>
        <v>汉族</v>
      </c>
      <c r="G347" s="6" t="str">
        <f t="shared" si="60"/>
        <v>群众</v>
      </c>
      <c r="H347" s="6" t="str">
        <f t="shared" si="61"/>
        <v>本科</v>
      </c>
      <c r="I347" s="6" t="str">
        <f t="shared" ref="I347:I352" si="62">"环境工程"</f>
        <v>环境工程</v>
      </c>
    </row>
    <row r="348" s="2" customFormat="1" ht="20" customHeight="1" spans="1:9">
      <c r="A348" s="6">
        <v>346</v>
      </c>
      <c r="B348" s="6" t="str">
        <f>"220720191127092659215105"</f>
        <v>220720191127092659215105</v>
      </c>
      <c r="C348" s="6" t="s">
        <v>18</v>
      </c>
      <c r="D348" s="6" t="str">
        <f>"何子强"</f>
        <v>何子强</v>
      </c>
      <c r="E348" s="6" t="str">
        <f>"男"</f>
        <v>男</v>
      </c>
      <c r="F348" s="6" t="str">
        <f t="shared" si="59"/>
        <v>汉族</v>
      </c>
      <c r="G348" s="6" t="str">
        <f t="shared" si="60"/>
        <v>群众</v>
      </c>
      <c r="H348" s="6" t="str">
        <f t="shared" si="61"/>
        <v>本科</v>
      </c>
      <c r="I348" s="6" t="str">
        <f t="shared" si="62"/>
        <v>环境工程</v>
      </c>
    </row>
    <row r="349" s="2" customFormat="1" ht="20" customHeight="1" spans="1:9">
      <c r="A349" s="6">
        <v>347</v>
      </c>
      <c r="B349" s="6" t="str">
        <f>"220720191127124019215420"</f>
        <v>220720191127124019215420</v>
      </c>
      <c r="C349" s="6" t="s">
        <v>18</v>
      </c>
      <c r="D349" s="6" t="str">
        <f>"李梦漪"</f>
        <v>李梦漪</v>
      </c>
      <c r="E349" s="6" t="str">
        <f>"女"</f>
        <v>女</v>
      </c>
      <c r="F349" s="6" t="str">
        <f t="shared" si="59"/>
        <v>汉族</v>
      </c>
      <c r="G349" s="6" t="str">
        <f t="shared" si="60"/>
        <v>群众</v>
      </c>
      <c r="H349" s="6" t="str">
        <f t="shared" si="61"/>
        <v>本科</v>
      </c>
      <c r="I349" s="6" t="str">
        <f t="shared" si="62"/>
        <v>环境工程</v>
      </c>
    </row>
    <row r="350" s="2" customFormat="1" ht="20" customHeight="1" spans="1:9">
      <c r="A350" s="6">
        <v>348</v>
      </c>
      <c r="B350" s="6" t="str">
        <f>"220720191127142057215533"</f>
        <v>220720191127142057215533</v>
      </c>
      <c r="C350" s="6" t="s">
        <v>18</v>
      </c>
      <c r="D350" s="6" t="str">
        <f>"郑燕选"</f>
        <v>郑燕选</v>
      </c>
      <c r="E350" s="6" t="str">
        <f>"女"</f>
        <v>女</v>
      </c>
      <c r="F350" s="6" t="str">
        <f t="shared" si="59"/>
        <v>汉族</v>
      </c>
      <c r="G350" s="6" t="str">
        <f t="shared" si="60"/>
        <v>群众</v>
      </c>
      <c r="H350" s="6" t="str">
        <f t="shared" si="61"/>
        <v>本科</v>
      </c>
      <c r="I350" s="6" t="str">
        <f t="shared" si="62"/>
        <v>环境工程</v>
      </c>
    </row>
    <row r="351" s="2" customFormat="1" ht="20" customHeight="1" spans="1:9">
      <c r="A351" s="6">
        <v>349</v>
      </c>
      <c r="B351" s="6" t="str">
        <f>"220720191127155134215669"</f>
        <v>220720191127155134215669</v>
      </c>
      <c r="C351" s="6" t="s">
        <v>18</v>
      </c>
      <c r="D351" s="6" t="str">
        <f>"高中丽"</f>
        <v>高中丽</v>
      </c>
      <c r="E351" s="6" t="str">
        <f>"女"</f>
        <v>女</v>
      </c>
      <c r="F351" s="6" t="str">
        <f t="shared" si="59"/>
        <v>汉族</v>
      </c>
      <c r="G351" s="6" t="str">
        <f t="shared" si="60"/>
        <v>群众</v>
      </c>
      <c r="H351" s="6" t="str">
        <f t="shared" si="61"/>
        <v>本科</v>
      </c>
      <c r="I351" s="6" t="str">
        <f t="shared" si="62"/>
        <v>环境工程</v>
      </c>
    </row>
    <row r="352" s="2" customFormat="1" ht="20" customHeight="1" spans="1:9">
      <c r="A352" s="6">
        <v>350</v>
      </c>
      <c r="B352" s="6" t="str">
        <f>"220720191127171652215812"</f>
        <v>220720191127171652215812</v>
      </c>
      <c r="C352" s="6" t="s">
        <v>18</v>
      </c>
      <c r="D352" s="6" t="str">
        <f>"林莉欣"</f>
        <v>林莉欣</v>
      </c>
      <c r="E352" s="6" t="str">
        <f>"女"</f>
        <v>女</v>
      </c>
      <c r="F352" s="6" t="str">
        <f t="shared" si="59"/>
        <v>汉族</v>
      </c>
      <c r="G352" s="6" t="str">
        <f t="shared" si="60"/>
        <v>群众</v>
      </c>
      <c r="H352" s="6" t="str">
        <f t="shared" si="61"/>
        <v>本科</v>
      </c>
      <c r="I352" s="6" t="str">
        <f t="shared" si="62"/>
        <v>环境工程</v>
      </c>
    </row>
    <row r="353" s="2" customFormat="1" ht="20" customHeight="1" spans="1:9">
      <c r="A353" s="6">
        <v>351</v>
      </c>
      <c r="B353" s="6" t="str">
        <f>"220720191127213031216136"</f>
        <v>220720191127213031216136</v>
      </c>
      <c r="C353" s="6" t="s">
        <v>18</v>
      </c>
      <c r="D353" s="6" t="str">
        <f>"吴启晁"</f>
        <v>吴启晁</v>
      </c>
      <c r="E353" s="6" t="str">
        <f>"男"</f>
        <v>男</v>
      </c>
      <c r="F353" s="6" t="str">
        <f>"黎族"</f>
        <v>黎族</v>
      </c>
      <c r="G353" s="6" t="str">
        <f t="shared" si="60"/>
        <v>群众</v>
      </c>
      <c r="H353" s="6" t="str">
        <f t="shared" si="61"/>
        <v>本科</v>
      </c>
      <c r="I353" s="6" t="str">
        <f>"环境科学"</f>
        <v>环境科学</v>
      </c>
    </row>
    <row r="354" s="2" customFormat="1" ht="20" customHeight="1" spans="1:9">
      <c r="A354" s="6">
        <v>352</v>
      </c>
      <c r="B354" s="6" t="str">
        <f>"220720191128095027216420"</f>
        <v>220720191128095027216420</v>
      </c>
      <c r="C354" s="6" t="s">
        <v>18</v>
      </c>
      <c r="D354" s="6" t="str">
        <f>"张汉敏"</f>
        <v>张汉敏</v>
      </c>
      <c r="E354" s="6" t="str">
        <f>"女"</f>
        <v>女</v>
      </c>
      <c r="F354" s="6" t="str">
        <f t="shared" ref="F354:F365" si="63">"汉族"</f>
        <v>汉族</v>
      </c>
      <c r="G354" s="6" t="str">
        <f t="shared" si="60"/>
        <v>群众</v>
      </c>
      <c r="H354" s="6" t="str">
        <f t="shared" si="61"/>
        <v>本科</v>
      </c>
      <c r="I354" s="6" t="str">
        <f>"环境工程"</f>
        <v>环境工程</v>
      </c>
    </row>
    <row r="355" s="2" customFormat="1" ht="20" customHeight="1" spans="1:9">
      <c r="A355" s="6">
        <v>353</v>
      </c>
      <c r="B355" s="6" t="str">
        <f>"220720191128111949216544"</f>
        <v>220720191128111949216544</v>
      </c>
      <c r="C355" s="6" t="s">
        <v>18</v>
      </c>
      <c r="D355" s="6" t="str">
        <f>"罗国琴"</f>
        <v>罗国琴</v>
      </c>
      <c r="E355" s="6" t="str">
        <f>"女"</f>
        <v>女</v>
      </c>
      <c r="F355" s="6" t="str">
        <f t="shared" si="63"/>
        <v>汉族</v>
      </c>
      <c r="G355" s="6" t="str">
        <f>"中共党员"</f>
        <v>中共党员</v>
      </c>
      <c r="H355" s="6" t="str">
        <f t="shared" si="61"/>
        <v>本科</v>
      </c>
      <c r="I355" s="6" t="str">
        <f>"生态学"</f>
        <v>生态学</v>
      </c>
    </row>
    <row r="356" s="2" customFormat="1" ht="20" customHeight="1" spans="1:9">
      <c r="A356" s="6">
        <v>354</v>
      </c>
      <c r="B356" s="6" t="str">
        <f>"220720191128134234216728"</f>
        <v>220720191128134234216728</v>
      </c>
      <c r="C356" s="6" t="s">
        <v>18</v>
      </c>
      <c r="D356" s="6" t="str">
        <f>"吴海翠"</f>
        <v>吴海翠</v>
      </c>
      <c r="E356" s="6" t="str">
        <f>"女"</f>
        <v>女</v>
      </c>
      <c r="F356" s="6" t="str">
        <f t="shared" si="63"/>
        <v>汉族</v>
      </c>
      <c r="G356" s="6" t="str">
        <f>"团员"</f>
        <v>团员</v>
      </c>
      <c r="H356" s="6" t="str">
        <f t="shared" si="61"/>
        <v>本科</v>
      </c>
      <c r="I356" s="6" t="str">
        <f>"环境工程"</f>
        <v>环境工程</v>
      </c>
    </row>
    <row r="357" s="2" customFormat="1" ht="20" customHeight="1" spans="1:9">
      <c r="A357" s="6">
        <v>355</v>
      </c>
      <c r="B357" s="6" t="str">
        <f>"220720191128134456216732"</f>
        <v>220720191128134456216732</v>
      </c>
      <c r="C357" s="6" t="s">
        <v>18</v>
      </c>
      <c r="D357" s="6" t="str">
        <f>"林儒海"</f>
        <v>林儒海</v>
      </c>
      <c r="E357" s="6" t="str">
        <f>"男"</f>
        <v>男</v>
      </c>
      <c r="F357" s="6" t="str">
        <f t="shared" si="63"/>
        <v>汉族</v>
      </c>
      <c r="G357" s="6" t="str">
        <f>"群众"</f>
        <v>群众</v>
      </c>
      <c r="H357" s="6" t="str">
        <f t="shared" si="61"/>
        <v>本科</v>
      </c>
      <c r="I357" s="6" t="str">
        <f>"环境工程"</f>
        <v>环境工程</v>
      </c>
    </row>
    <row r="358" s="2" customFormat="1" ht="20" customHeight="1" spans="1:9">
      <c r="A358" s="6">
        <v>356</v>
      </c>
      <c r="B358" s="6" t="str">
        <f>"220720191128231604217269"</f>
        <v>220720191128231604217269</v>
      </c>
      <c r="C358" s="6" t="s">
        <v>18</v>
      </c>
      <c r="D358" s="6" t="str">
        <f>"梁建平"</f>
        <v>梁建平</v>
      </c>
      <c r="E358" s="6" t="str">
        <f>"男"</f>
        <v>男</v>
      </c>
      <c r="F358" s="6" t="str">
        <f t="shared" si="63"/>
        <v>汉族</v>
      </c>
      <c r="G358" s="6" t="str">
        <f>"中共党员"</f>
        <v>中共党员</v>
      </c>
      <c r="H358" s="6" t="str">
        <f t="shared" si="61"/>
        <v>本科</v>
      </c>
      <c r="I358" s="6" t="str">
        <f>"环境科学"</f>
        <v>环境科学</v>
      </c>
    </row>
    <row r="359" s="2" customFormat="1" ht="20" customHeight="1" spans="1:9">
      <c r="A359" s="6">
        <v>357</v>
      </c>
      <c r="B359" s="6" t="str">
        <f>"220720191129100816217094"</f>
        <v>220720191129100816217094</v>
      </c>
      <c r="C359" s="6" t="s">
        <v>18</v>
      </c>
      <c r="D359" s="6" t="str">
        <f>"邓玉霞"</f>
        <v>邓玉霞</v>
      </c>
      <c r="E359" s="6" t="str">
        <f>"女"</f>
        <v>女</v>
      </c>
      <c r="F359" s="6" t="str">
        <f t="shared" si="63"/>
        <v>汉族</v>
      </c>
      <c r="G359" s="6" t="str">
        <f>"中共党员"</f>
        <v>中共党员</v>
      </c>
      <c r="H359" s="6" t="str">
        <f>"研究生"</f>
        <v>研究生</v>
      </c>
      <c r="I359" s="6" t="str">
        <f>"硕士研究生：植物营养学；本科：农业资源与环境"</f>
        <v>硕士研究生：植物营养学；本科：农业资源与环境</v>
      </c>
    </row>
    <row r="360" s="2" customFormat="1" ht="20" customHeight="1" spans="1:9">
      <c r="A360" s="6">
        <v>358</v>
      </c>
      <c r="B360" s="6" t="str">
        <f>"220720191129103852217381"</f>
        <v>220720191129103852217381</v>
      </c>
      <c r="C360" s="6" t="s">
        <v>18</v>
      </c>
      <c r="D360" s="6" t="str">
        <f>"吴智伟"</f>
        <v>吴智伟</v>
      </c>
      <c r="E360" s="6" t="str">
        <f>"男"</f>
        <v>男</v>
      </c>
      <c r="F360" s="6" t="str">
        <f t="shared" si="63"/>
        <v>汉族</v>
      </c>
      <c r="G360" s="6" t="str">
        <f>"团员"</f>
        <v>团员</v>
      </c>
      <c r="H360" s="6" t="str">
        <f>"本科"</f>
        <v>本科</v>
      </c>
      <c r="I360" s="6" t="str">
        <f>"环境工程专业"</f>
        <v>环境工程专业</v>
      </c>
    </row>
    <row r="361" s="2" customFormat="1" ht="20" customHeight="1" spans="1:9">
      <c r="A361" s="6">
        <v>359</v>
      </c>
      <c r="B361" s="6" t="str">
        <f>"220720191129154232213447"</f>
        <v>220720191129154232213447</v>
      </c>
      <c r="C361" s="6" t="s">
        <v>18</v>
      </c>
      <c r="D361" s="6" t="str">
        <f>"陆定芳"</f>
        <v>陆定芳</v>
      </c>
      <c r="E361" s="6" t="str">
        <f>"女"</f>
        <v>女</v>
      </c>
      <c r="F361" s="6" t="str">
        <f t="shared" si="63"/>
        <v>汉族</v>
      </c>
      <c r="G361" s="6" t="str">
        <f>"群众"</f>
        <v>群众</v>
      </c>
      <c r="H361" s="6" t="str">
        <f>"本科"</f>
        <v>本科</v>
      </c>
      <c r="I361" s="6" t="str">
        <f>"环境科学"</f>
        <v>环境科学</v>
      </c>
    </row>
    <row r="362" s="2" customFormat="1" ht="20" customHeight="1" spans="1:9">
      <c r="A362" s="6">
        <v>360</v>
      </c>
      <c r="B362" s="6" t="str">
        <f>"220720191129155107217622"</f>
        <v>220720191129155107217622</v>
      </c>
      <c r="C362" s="6" t="s">
        <v>18</v>
      </c>
      <c r="D362" s="6" t="str">
        <f>"陈泓伊"</f>
        <v>陈泓伊</v>
      </c>
      <c r="E362" s="6" t="str">
        <f>"男"</f>
        <v>男</v>
      </c>
      <c r="F362" s="6" t="str">
        <f t="shared" si="63"/>
        <v>汉族</v>
      </c>
      <c r="G362" s="6" t="str">
        <f>"团员"</f>
        <v>团员</v>
      </c>
      <c r="H362" s="6" t="str">
        <f>"本科"</f>
        <v>本科</v>
      </c>
      <c r="I362" s="6" t="str">
        <f>"环境工程"</f>
        <v>环境工程</v>
      </c>
    </row>
    <row r="363" s="2" customFormat="1" ht="20" customHeight="1" spans="1:9">
      <c r="A363" s="6">
        <v>361</v>
      </c>
      <c r="B363" s="6" t="str">
        <f>"220720191129170004217683"</f>
        <v>220720191129170004217683</v>
      </c>
      <c r="C363" s="6" t="s">
        <v>18</v>
      </c>
      <c r="D363" s="6" t="str">
        <f>"曾冰"</f>
        <v>曾冰</v>
      </c>
      <c r="E363" s="6" t="str">
        <f>"女"</f>
        <v>女</v>
      </c>
      <c r="F363" s="6" t="str">
        <f t="shared" si="63"/>
        <v>汉族</v>
      </c>
      <c r="G363" s="6" t="str">
        <f>"群众"</f>
        <v>群众</v>
      </c>
      <c r="H363" s="6" t="str">
        <f>"本科"</f>
        <v>本科</v>
      </c>
      <c r="I363" s="6" t="str">
        <f>"环境科学专业"</f>
        <v>环境科学专业</v>
      </c>
    </row>
    <row r="364" s="2" customFormat="1" ht="20" customHeight="1" spans="1:9">
      <c r="A364" s="6">
        <v>362</v>
      </c>
      <c r="B364" s="6" t="str">
        <f>"220720191129171401215424"</f>
        <v>220720191129171401215424</v>
      </c>
      <c r="C364" s="6" t="s">
        <v>18</v>
      </c>
      <c r="D364" s="6" t="str">
        <f>"高春"</f>
        <v>高春</v>
      </c>
      <c r="E364" s="6" t="str">
        <f>"女"</f>
        <v>女</v>
      </c>
      <c r="F364" s="6" t="str">
        <f t="shared" si="63"/>
        <v>汉族</v>
      </c>
      <c r="G364" s="6" t="str">
        <f>"群众"</f>
        <v>群众</v>
      </c>
      <c r="H364" s="6" t="str">
        <f>"研究生"</f>
        <v>研究生</v>
      </c>
      <c r="I364" s="6" t="str">
        <f>"生态学"</f>
        <v>生态学</v>
      </c>
    </row>
    <row r="365" s="2" customFormat="1" ht="20" customHeight="1" spans="1:9">
      <c r="A365" s="6">
        <v>363</v>
      </c>
      <c r="B365" s="6" t="str">
        <f>"220720191130122531218028"</f>
        <v>220720191130122531218028</v>
      </c>
      <c r="C365" s="6" t="s">
        <v>18</v>
      </c>
      <c r="D365" s="6" t="str">
        <f>"严礼卡"</f>
        <v>严礼卡</v>
      </c>
      <c r="E365" s="6" t="str">
        <f>"男"</f>
        <v>男</v>
      </c>
      <c r="F365" s="6" t="str">
        <f t="shared" si="63"/>
        <v>汉族</v>
      </c>
      <c r="G365" s="6" t="str">
        <f>"团员"</f>
        <v>团员</v>
      </c>
      <c r="H365" s="6" t="str">
        <f t="shared" ref="H365:H387" si="64">"本科"</f>
        <v>本科</v>
      </c>
      <c r="I365" s="6" t="str">
        <f>"资源环境与城乡规划管理"</f>
        <v>资源环境与城乡规划管理</v>
      </c>
    </row>
    <row r="366" s="2" customFormat="1" ht="20" customHeight="1" spans="1:9">
      <c r="A366" s="6">
        <v>364</v>
      </c>
      <c r="B366" s="6" t="str">
        <f>"220720191130194921218230"</f>
        <v>220720191130194921218230</v>
      </c>
      <c r="C366" s="6" t="s">
        <v>18</v>
      </c>
      <c r="D366" s="6" t="str">
        <f>"范丽敏"</f>
        <v>范丽敏</v>
      </c>
      <c r="E366" s="6" t="str">
        <f>"女"</f>
        <v>女</v>
      </c>
      <c r="F366" s="6" t="str">
        <f>"回族"</f>
        <v>回族</v>
      </c>
      <c r="G366" s="6" t="str">
        <f>"中共党员"</f>
        <v>中共党员</v>
      </c>
      <c r="H366" s="6" t="str">
        <f t="shared" si="64"/>
        <v>本科</v>
      </c>
      <c r="I366" s="6" t="str">
        <f>"环境工程"</f>
        <v>环境工程</v>
      </c>
    </row>
    <row r="367" s="2" customFormat="1" ht="20" customHeight="1" spans="1:9">
      <c r="A367" s="6">
        <v>365</v>
      </c>
      <c r="B367" s="6" t="str">
        <f>"220720191201111725218299"</f>
        <v>220720191201111725218299</v>
      </c>
      <c r="C367" s="6" t="s">
        <v>18</v>
      </c>
      <c r="D367" s="6" t="str">
        <f>"黎小平"</f>
        <v>黎小平</v>
      </c>
      <c r="E367" s="6" t="str">
        <f>"男"</f>
        <v>男</v>
      </c>
      <c r="F367" s="6" t="str">
        <f t="shared" ref="F367:F381" si="65">"汉族"</f>
        <v>汉族</v>
      </c>
      <c r="G367" s="6" t="str">
        <f>"群众"</f>
        <v>群众</v>
      </c>
      <c r="H367" s="6" t="str">
        <f t="shared" si="64"/>
        <v>本科</v>
      </c>
      <c r="I367" s="6" t="str">
        <f>"环境工程"</f>
        <v>环境工程</v>
      </c>
    </row>
    <row r="368" s="2" customFormat="1" ht="20" customHeight="1" spans="1:9">
      <c r="A368" s="6">
        <v>366</v>
      </c>
      <c r="B368" s="6" t="str">
        <f>"220720191201122139213618"</f>
        <v>220720191201122139213618</v>
      </c>
      <c r="C368" s="6" t="s">
        <v>18</v>
      </c>
      <c r="D368" s="6" t="str">
        <f>"陈杏俞"</f>
        <v>陈杏俞</v>
      </c>
      <c r="E368" s="6" t="str">
        <f>"女"</f>
        <v>女</v>
      </c>
      <c r="F368" s="6" t="str">
        <f t="shared" si="65"/>
        <v>汉族</v>
      </c>
      <c r="G368" s="6" t="str">
        <f>"中共党员"</f>
        <v>中共党员</v>
      </c>
      <c r="H368" s="6" t="str">
        <f t="shared" si="64"/>
        <v>本科</v>
      </c>
      <c r="I368" s="6" t="str">
        <f>"农业资源与环境"</f>
        <v>农业资源与环境</v>
      </c>
    </row>
    <row r="369" s="2" customFormat="1" ht="20" customHeight="1" spans="1:9">
      <c r="A369" s="6">
        <v>367</v>
      </c>
      <c r="B369" s="6" t="str">
        <f>"220720191201225459216261"</f>
        <v>220720191201225459216261</v>
      </c>
      <c r="C369" s="6" t="s">
        <v>18</v>
      </c>
      <c r="D369" s="6" t="str">
        <f>"王志书"</f>
        <v>王志书</v>
      </c>
      <c r="E369" s="6" t="str">
        <f>"男"</f>
        <v>男</v>
      </c>
      <c r="F369" s="6" t="str">
        <f t="shared" si="65"/>
        <v>汉族</v>
      </c>
      <c r="G369" s="6" t="str">
        <f>"中共党员"</f>
        <v>中共党员</v>
      </c>
      <c r="H369" s="6" t="str">
        <f t="shared" si="64"/>
        <v>本科</v>
      </c>
      <c r="I369" s="6" t="str">
        <f>"环境工程"</f>
        <v>环境工程</v>
      </c>
    </row>
    <row r="370" s="2" customFormat="1" ht="20" customHeight="1" spans="1:9">
      <c r="A370" s="6">
        <v>368</v>
      </c>
      <c r="B370" s="6" t="str">
        <f>"220720191202061153218447"</f>
        <v>220720191202061153218447</v>
      </c>
      <c r="C370" s="6" t="s">
        <v>18</v>
      </c>
      <c r="D370" s="6" t="str">
        <f>"林斌"</f>
        <v>林斌</v>
      </c>
      <c r="E370" s="6" t="str">
        <f>"女"</f>
        <v>女</v>
      </c>
      <c r="F370" s="6" t="str">
        <f t="shared" si="65"/>
        <v>汉族</v>
      </c>
      <c r="G370" s="6" t="str">
        <f>"群众"</f>
        <v>群众</v>
      </c>
      <c r="H370" s="6" t="str">
        <f t="shared" si="64"/>
        <v>本科</v>
      </c>
      <c r="I370" s="6" t="str">
        <f>"环境科学"</f>
        <v>环境科学</v>
      </c>
    </row>
    <row r="371" s="2" customFormat="1" ht="20" customHeight="1" spans="1:9">
      <c r="A371" s="6">
        <v>369</v>
      </c>
      <c r="B371" s="6" t="str">
        <f>"220720191202093626218513"</f>
        <v>220720191202093626218513</v>
      </c>
      <c r="C371" s="6" t="s">
        <v>18</v>
      </c>
      <c r="D371" s="6" t="str">
        <f>"冯哲"</f>
        <v>冯哲</v>
      </c>
      <c r="E371" s="6" t="str">
        <f>"男"</f>
        <v>男</v>
      </c>
      <c r="F371" s="6" t="str">
        <f t="shared" si="65"/>
        <v>汉族</v>
      </c>
      <c r="G371" s="6" t="str">
        <f>"群众"</f>
        <v>群众</v>
      </c>
      <c r="H371" s="6" t="str">
        <f t="shared" si="64"/>
        <v>本科</v>
      </c>
      <c r="I371" s="6" t="str">
        <f>"环境工程专业"</f>
        <v>环境工程专业</v>
      </c>
    </row>
    <row r="372" s="2" customFormat="1" ht="20" customHeight="1" spans="1:9">
      <c r="A372" s="6">
        <v>370</v>
      </c>
      <c r="B372" s="6" t="str">
        <f>"220720191202103735218564"</f>
        <v>220720191202103735218564</v>
      </c>
      <c r="C372" s="6" t="s">
        <v>18</v>
      </c>
      <c r="D372" s="6" t="str">
        <f>"王慧"</f>
        <v>王慧</v>
      </c>
      <c r="E372" s="6" t="str">
        <f t="shared" ref="E372:E379" si="66">"女"</f>
        <v>女</v>
      </c>
      <c r="F372" s="6" t="str">
        <f t="shared" si="65"/>
        <v>汉族</v>
      </c>
      <c r="G372" s="6" t="str">
        <f>"群众"</f>
        <v>群众</v>
      </c>
      <c r="H372" s="6" t="str">
        <f t="shared" si="64"/>
        <v>本科</v>
      </c>
      <c r="I372" s="6" t="str">
        <f>"资源环境与城乡规划管理"</f>
        <v>资源环境与城乡规划管理</v>
      </c>
    </row>
    <row r="373" s="2" customFormat="1" ht="20" customHeight="1" spans="1:9">
      <c r="A373" s="6">
        <v>371</v>
      </c>
      <c r="B373" s="6" t="str">
        <f>"220720191202150631218725"</f>
        <v>220720191202150631218725</v>
      </c>
      <c r="C373" s="6" t="s">
        <v>18</v>
      </c>
      <c r="D373" s="6" t="str">
        <f>"韩惠芳"</f>
        <v>韩惠芳</v>
      </c>
      <c r="E373" s="6" t="str">
        <f t="shared" si="66"/>
        <v>女</v>
      </c>
      <c r="F373" s="6" t="str">
        <f t="shared" si="65"/>
        <v>汉族</v>
      </c>
      <c r="G373" s="6" t="str">
        <f>"中共党员"</f>
        <v>中共党员</v>
      </c>
      <c r="H373" s="6" t="str">
        <f t="shared" si="64"/>
        <v>本科</v>
      </c>
      <c r="I373" s="6" t="str">
        <f>"农业资源与环境"</f>
        <v>农业资源与环境</v>
      </c>
    </row>
    <row r="374" s="2" customFormat="1" ht="20" customHeight="1" spans="1:9">
      <c r="A374" s="6">
        <v>372</v>
      </c>
      <c r="B374" s="6" t="str">
        <f>"220720191202152355218732"</f>
        <v>220720191202152355218732</v>
      </c>
      <c r="C374" s="6" t="s">
        <v>18</v>
      </c>
      <c r="D374" s="6" t="str">
        <f>"罗小曼"</f>
        <v>罗小曼</v>
      </c>
      <c r="E374" s="6" t="str">
        <f t="shared" si="66"/>
        <v>女</v>
      </c>
      <c r="F374" s="6" t="str">
        <f t="shared" si="65"/>
        <v>汉族</v>
      </c>
      <c r="G374" s="6" t="str">
        <f>"中共党员"</f>
        <v>中共党员</v>
      </c>
      <c r="H374" s="6" t="str">
        <f t="shared" si="64"/>
        <v>本科</v>
      </c>
      <c r="I374" s="6" t="str">
        <f>"环境科学"</f>
        <v>环境科学</v>
      </c>
    </row>
    <row r="375" s="2" customFormat="1" ht="20" customHeight="1" spans="1:9">
      <c r="A375" s="6">
        <v>373</v>
      </c>
      <c r="B375" s="6" t="str">
        <f>"220720191126093724213157"</f>
        <v>220720191126093724213157</v>
      </c>
      <c r="C375" s="6" t="s">
        <v>19</v>
      </c>
      <c r="D375" s="6" t="str">
        <f>"陈秋艳"</f>
        <v>陈秋艳</v>
      </c>
      <c r="E375" s="6" t="str">
        <f t="shared" si="66"/>
        <v>女</v>
      </c>
      <c r="F375" s="6" t="str">
        <f t="shared" si="65"/>
        <v>汉族</v>
      </c>
      <c r="G375" s="6" t="str">
        <f>"团员"</f>
        <v>团员</v>
      </c>
      <c r="H375" s="6" t="str">
        <f t="shared" si="64"/>
        <v>本科</v>
      </c>
      <c r="I375" s="6" t="str">
        <f>"植物保护"</f>
        <v>植物保护</v>
      </c>
    </row>
    <row r="376" s="2" customFormat="1" ht="20" customHeight="1" spans="1:9">
      <c r="A376" s="6">
        <v>374</v>
      </c>
      <c r="B376" s="6" t="str">
        <f>"220720191126094400213189"</f>
        <v>220720191126094400213189</v>
      </c>
      <c r="C376" s="6" t="s">
        <v>19</v>
      </c>
      <c r="D376" s="6" t="str">
        <f>"何梅贵"</f>
        <v>何梅贵</v>
      </c>
      <c r="E376" s="6" t="str">
        <f t="shared" si="66"/>
        <v>女</v>
      </c>
      <c r="F376" s="6" t="str">
        <f t="shared" si="65"/>
        <v>汉族</v>
      </c>
      <c r="G376" s="6" t="str">
        <f>"群众"</f>
        <v>群众</v>
      </c>
      <c r="H376" s="6" t="str">
        <f t="shared" si="64"/>
        <v>本科</v>
      </c>
      <c r="I376" s="6" t="str">
        <f>"农林经济管理"</f>
        <v>农林经济管理</v>
      </c>
    </row>
    <row r="377" s="2" customFormat="1" ht="20" customHeight="1" spans="1:9">
      <c r="A377" s="6">
        <v>375</v>
      </c>
      <c r="B377" s="6" t="str">
        <f>"220720191126095958213255"</f>
        <v>220720191126095958213255</v>
      </c>
      <c r="C377" s="6" t="s">
        <v>19</v>
      </c>
      <c r="D377" s="6" t="str">
        <f>"曾春媚"</f>
        <v>曾春媚</v>
      </c>
      <c r="E377" s="6" t="str">
        <f t="shared" si="66"/>
        <v>女</v>
      </c>
      <c r="F377" s="6" t="str">
        <f t="shared" si="65"/>
        <v>汉族</v>
      </c>
      <c r="G377" s="6" t="str">
        <f>"群众"</f>
        <v>群众</v>
      </c>
      <c r="H377" s="6" t="str">
        <f t="shared" si="64"/>
        <v>本科</v>
      </c>
      <c r="I377" s="6" t="str">
        <f>"农林经济管理"</f>
        <v>农林经济管理</v>
      </c>
    </row>
    <row r="378" s="2" customFormat="1" ht="20" customHeight="1" spans="1:9">
      <c r="A378" s="6">
        <v>376</v>
      </c>
      <c r="B378" s="6" t="str">
        <f>"220720191126102601213360"</f>
        <v>220720191126102601213360</v>
      </c>
      <c r="C378" s="6" t="s">
        <v>19</v>
      </c>
      <c r="D378" s="6" t="str">
        <f>"梁婷婷"</f>
        <v>梁婷婷</v>
      </c>
      <c r="E378" s="6" t="str">
        <f t="shared" si="66"/>
        <v>女</v>
      </c>
      <c r="F378" s="6" t="str">
        <f t="shared" si="65"/>
        <v>汉族</v>
      </c>
      <c r="G378" s="6" t="str">
        <f>"团员"</f>
        <v>团员</v>
      </c>
      <c r="H378" s="6" t="str">
        <f t="shared" si="64"/>
        <v>本科</v>
      </c>
      <c r="I378" s="6" t="str">
        <f>"植物保护（农药方向）"</f>
        <v>植物保护（农药方向）</v>
      </c>
    </row>
    <row r="379" s="2" customFormat="1" ht="20" customHeight="1" spans="1:9">
      <c r="A379" s="6">
        <v>377</v>
      </c>
      <c r="B379" s="6" t="str">
        <f>"220720191126111434213524"</f>
        <v>220720191126111434213524</v>
      </c>
      <c r="C379" s="6" t="s">
        <v>19</v>
      </c>
      <c r="D379" s="6" t="str">
        <f>"云如雪"</f>
        <v>云如雪</v>
      </c>
      <c r="E379" s="6" t="str">
        <f t="shared" si="66"/>
        <v>女</v>
      </c>
      <c r="F379" s="6" t="str">
        <f t="shared" si="65"/>
        <v>汉族</v>
      </c>
      <c r="G379" s="6" t="str">
        <f>"团员"</f>
        <v>团员</v>
      </c>
      <c r="H379" s="6" t="str">
        <f t="shared" si="64"/>
        <v>本科</v>
      </c>
      <c r="I379" s="6" t="str">
        <f>"植物保护（农药方向）"</f>
        <v>植物保护（农药方向）</v>
      </c>
    </row>
    <row r="380" s="2" customFormat="1" ht="20" customHeight="1" spans="1:9">
      <c r="A380" s="6">
        <v>378</v>
      </c>
      <c r="B380" s="6" t="str">
        <f>"220720191126150002214011"</f>
        <v>220720191126150002214011</v>
      </c>
      <c r="C380" s="6" t="s">
        <v>19</v>
      </c>
      <c r="D380" s="6" t="str">
        <f>"谢胜焕"</f>
        <v>谢胜焕</v>
      </c>
      <c r="E380" s="6" t="str">
        <f>"男"</f>
        <v>男</v>
      </c>
      <c r="F380" s="6" t="str">
        <f t="shared" si="65"/>
        <v>汉族</v>
      </c>
      <c r="G380" s="6" t="str">
        <f>"群众"</f>
        <v>群众</v>
      </c>
      <c r="H380" s="6" t="str">
        <f t="shared" si="64"/>
        <v>本科</v>
      </c>
      <c r="I380" s="6" t="str">
        <f>"植物保护"</f>
        <v>植物保护</v>
      </c>
    </row>
    <row r="381" s="2" customFormat="1" ht="20" customHeight="1" spans="1:9">
      <c r="A381" s="6">
        <v>379</v>
      </c>
      <c r="B381" s="6" t="str">
        <f>"220720191126210302214728"</f>
        <v>220720191126210302214728</v>
      </c>
      <c r="C381" s="6" t="s">
        <v>19</v>
      </c>
      <c r="D381" s="6" t="str">
        <f>"林小涓"</f>
        <v>林小涓</v>
      </c>
      <c r="E381" s="6" t="str">
        <f>"女"</f>
        <v>女</v>
      </c>
      <c r="F381" s="6" t="str">
        <f t="shared" si="65"/>
        <v>汉族</v>
      </c>
      <c r="G381" s="6" t="str">
        <f>"团员"</f>
        <v>团员</v>
      </c>
      <c r="H381" s="6" t="str">
        <f t="shared" si="64"/>
        <v>本科</v>
      </c>
      <c r="I381" s="6" t="str">
        <f>"植物保护"</f>
        <v>植物保护</v>
      </c>
    </row>
    <row r="382" s="2" customFormat="1" ht="20" customHeight="1" spans="1:9">
      <c r="A382" s="6">
        <v>380</v>
      </c>
      <c r="B382" s="6" t="str">
        <f>"220720191127123040215407"</f>
        <v>220720191127123040215407</v>
      </c>
      <c r="C382" s="6" t="s">
        <v>19</v>
      </c>
      <c r="D382" s="6" t="str">
        <f>"谭发行"</f>
        <v>谭发行</v>
      </c>
      <c r="E382" s="6" t="str">
        <f>"男"</f>
        <v>男</v>
      </c>
      <c r="F382" s="6" t="str">
        <f>"黎族"</f>
        <v>黎族</v>
      </c>
      <c r="G382" s="6" t="str">
        <f>"中共党员"</f>
        <v>中共党员</v>
      </c>
      <c r="H382" s="6" t="str">
        <f t="shared" si="64"/>
        <v>本科</v>
      </c>
      <c r="I382" s="6" t="str">
        <f>"农林经济管理"</f>
        <v>农林经济管理</v>
      </c>
    </row>
    <row r="383" s="2" customFormat="1" ht="20" customHeight="1" spans="1:9">
      <c r="A383" s="6">
        <v>381</v>
      </c>
      <c r="B383" s="6" t="str">
        <f>"220720191127162218215726"</f>
        <v>220720191127162218215726</v>
      </c>
      <c r="C383" s="6" t="s">
        <v>19</v>
      </c>
      <c r="D383" s="6" t="str">
        <f>"王娟娟"</f>
        <v>王娟娟</v>
      </c>
      <c r="E383" s="6" t="str">
        <f>"女"</f>
        <v>女</v>
      </c>
      <c r="F383" s="6" t="str">
        <f>"汉族"</f>
        <v>汉族</v>
      </c>
      <c r="G383" s="6" t="str">
        <f>"团员"</f>
        <v>团员</v>
      </c>
      <c r="H383" s="6" t="str">
        <f t="shared" si="64"/>
        <v>本科</v>
      </c>
      <c r="I383" s="6" t="str">
        <f>"农林经济管理"</f>
        <v>农林经济管理</v>
      </c>
    </row>
    <row r="384" s="2" customFormat="1" ht="20" customHeight="1" spans="1:9">
      <c r="A384" s="6">
        <v>382</v>
      </c>
      <c r="B384" s="6" t="str">
        <f>"220720191127173620215841"</f>
        <v>220720191127173620215841</v>
      </c>
      <c r="C384" s="6" t="s">
        <v>19</v>
      </c>
      <c r="D384" s="6" t="str">
        <f>"吴海蕊"</f>
        <v>吴海蕊</v>
      </c>
      <c r="E384" s="6" t="str">
        <f>"女"</f>
        <v>女</v>
      </c>
      <c r="F384" s="6" t="str">
        <f>"汉族"</f>
        <v>汉族</v>
      </c>
      <c r="G384" s="6" t="str">
        <f>"群众"</f>
        <v>群众</v>
      </c>
      <c r="H384" s="6" t="str">
        <f t="shared" si="64"/>
        <v>本科</v>
      </c>
      <c r="I384" s="6" t="str">
        <f>"农林经济管理"</f>
        <v>农林经济管理</v>
      </c>
    </row>
    <row r="385" s="2" customFormat="1" ht="20" customHeight="1" spans="1:9">
      <c r="A385" s="6">
        <v>383</v>
      </c>
      <c r="B385" s="6" t="str">
        <f>"220720191128155729216913"</f>
        <v>220720191128155729216913</v>
      </c>
      <c r="C385" s="6" t="s">
        <v>19</v>
      </c>
      <c r="D385" s="6" t="str">
        <f>"杨丽思"</f>
        <v>杨丽思</v>
      </c>
      <c r="E385" s="6" t="str">
        <f>"女"</f>
        <v>女</v>
      </c>
      <c r="F385" s="6" t="str">
        <f>"汉族"</f>
        <v>汉族</v>
      </c>
      <c r="G385" s="6" t="str">
        <f>"团员"</f>
        <v>团员</v>
      </c>
      <c r="H385" s="6" t="str">
        <f t="shared" si="64"/>
        <v>本科</v>
      </c>
      <c r="I385" s="6" t="str">
        <f>"植物保护（农药与农产品安全方向）"</f>
        <v>植物保护（农药与农产品安全方向）</v>
      </c>
    </row>
    <row r="386" s="2" customFormat="1" ht="20" customHeight="1" spans="1:9">
      <c r="A386" s="6">
        <v>384</v>
      </c>
      <c r="B386" s="6" t="str">
        <f>"220720191130120236217226"</f>
        <v>220720191130120236217226</v>
      </c>
      <c r="C386" s="6" t="s">
        <v>19</v>
      </c>
      <c r="D386" s="6" t="str">
        <f>"陈敏"</f>
        <v>陈敏</v>
      </c>
      <c r="E386" s="6" t="str">
        <f>"女"</f>
        <v>女</v>
      </c>
      <c r="F386" s="6" t="str">
        <f>"汉族"</f>
        <v>汉族</v>
      </c>
      <c r="G386" s="6" t="str">
        <f>"中共党员"</f>
        <v>中共党员</v>
      </c>
      <c r="H386" s="6" t="str">
        <f t="shared" si="64"/>
        <v>本科</v>
      </c>
      <c r="I386" s="6" t="str">
        <f>"植物保护"</f>
        <v>植物保护</v>
      </c>
    </row>
    <row r="387" s="2" customFormat="1" ht="20" customHeight="1" spans="1:9">
      <c r="A387" s="6">
        <v>385</v>
      </c>
      <c r="B387" s="6" t="str">
        <f>"220720191202145122218711"</f>
        <v>220720191202145122218711</v>
      </c>
      <c r="C387" s="6" t="s">
        <v>19</v>
      </c>
      <c r="D387" s="6" t="str">
        <f>"蒋周洁"</f>
        <v>蒋周洁</v>
      </c>
      <c r="E387" s="6" t="str">
        <f>"女"</f>
        <v>女</v>
      </c>
      <c r="F387" s="6" t="str">
        <f>"汉族"</f>
        <v>汉族</v>
      </c>
      <c r="G387" s="6" t="str">
        <f>"群众"</f>
        <v>群众</v>
      </c>
      <c r="H387" s="6" t="str">
        <f t="shared" si="64"/>
        <v>本科</v>
      </c>
      <c r="I387" s="6" t="str">
        <f>"农林经济管理"</f>
        <v>农林经济管理</v>
      </c>
    </row>
  </sheetData>
  <mergeCells count="1">
    <mergeCell ref="A1:I1"/>
  </mergeCells>
  <pageMargins left="0.75" right="0.314583333333333" top="0.550694444444444" bottom="0.472222222222222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桂林洋合格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2019-12-04T03:09:00Z</dcterms:created>
  <dcterms:modified xsi:type="dcterms:W3CDTF">2019-12-06T07:11:12Z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