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24519"/>
</workbook>
</file>

<file path=xl/calcChain.xml><?xml version="1.0" encoding="utf-8"?>
<calcChain xmlns="http://schemas.openxmlformats.org/spreadsheetml/2006/main">
  <c r="J963" i="1"/>
  <c r="E963"/>
  <c r="D963"/>
  <c r="C963"/>
  <c r="B963"/>
  <c r="J962"/>
  <c r="E962"/>
  <c r="D962"/>
  <c r="C962"/>
  <c r="B962"/>
  <c r="J961"/>
  <c r="E961"/>
  <c r="D961"/>
  <c r="C961"/>
  <c r="B961"/>
  <c r="J960"/>
  <c r="E960"/>
  <c r="D960"/>
  <c r="C960"/>
  <c r="B960"/>
  <c r="J959"/>
  <c r="E959"/>
  <c r="D959"/>
  <c r="C959"/>
  <c r="B959"/>
  <c r="J958"/>
  <c r="E958"/>
  <c r="D958"/>
  <c r="C958"/>
  <c r="B958"/>
  <c r="J957"/>
  <c r="E957"/>
  <c r="D957"/>
  <c r="C957"/>
  <c r="B957"/>
  <c r="J956"/>
  <c r="E956"/>
  <c r="D956"/>
  <c r="C956"/>
  <c r="B956"/>
  <c r="J955"/>
  <c r="E955"/>
  <c r="D955"/>
  <c r="C955"/>
  <c r="B955"/>
  <c r="J954"/>
  <c r="E954"/>
  <c r="D954"/>
  <c r="C954"/>
  <c r="B954"/>
  <c r="J953"/>
  <c r="E953"/>
  <c r="D953"/>
  <c r="C953"/>
  <c r="B953"/>
  <c r="J952"/>
  <c r="E952"/>
  <c r="D952"/>
  <c r="C952"/>
  <c r="B952"/>
  <c r="J951"/>
  <c r="E951"/>
  <c r="D951"/>
  <c r="C951"/>
  <c r="B951"/>
  <c r="J950"/>
  <c r="E950"/>
  <c r="D950"/>
  <c r="C950"/>
  <c r="B950"/>
  <c r="J949"/>
  <c r="E949"/>
  <c r="D949"/>
  <c r="C949"/>
  <c r="B949"/>
  <c r="J948"/>
  <c r="E948"/>
  <c r="D948"/>
  <c r="C948"/>
  <c r="B948"/>
  <c r="J947"/>
  <c r="E947"/>
  <c r="D947"/>
  <c r="C947"/>
  <c r="B947"/>
  <c r="J946"/>
  <c r="E946"/>
  <c r="D946"/>
  <c r="C946"/>
  <c r="B946"/>
  <c r="J945"/>
  <c r="E945"/>
  <c r="D945"/>
  <c r="C945"/>
  <c r="B945"/>
  <c r="J944"/>
  <c r="E944"/>
  <c r="D944"/>
  <c r="C944"/>
  <c r="B944"/>
  <c r="J943"/>
  <c r="E943"/>
  <c r="D943"/>
  <c r="C943"/>
  <c r="B943"/>
  <c r="J942"/>
  <c r="E942"/>
  <c r="D942"/>
  <c r="C942"/>
  <c r="B942"/>
  <c r="J941"/>
  <c r="E941"/>
  <c r="D941"/>
  <c r="C941"/>
  <c r="B941"/>
  <c r="J940"/>
  <c r="E940"/>
  <c r="D940"/>
  <c r="C940"/>
  <c r="B940"/>
  <c r="J939"/>
  <c r="E939"/>
  <c r="D939"/>
  <c r="C939"/>
  <c r="B939"/>
  <c r="J938"/>
  <c r="E938"/>
  <c r="D938"/>
  <c r="C938"/>
  <c r="B938"/>
  <c r="J937"/>
  <c r="E937"/>
  <c r="D937"/>
  <c r="C937"/>
  <c r="B937"/>
  <c r="J936"/>
  <c r="E936"/>
  <c r="D936"/>
  <c r="C936"/>
  <c r="B936"/>
  <c r="J935"/>
  <c r="E935"/>
  <c r="D935"/>
  <c r="C935"/>
  <c r="B935"/>
  <c r="J934"/>
  <c r="E934"/>
  <c r="D934"/>
  <c r="C934"/>
  <c r="B934"/>
  <c r="J933"/>
  <c r="E933"/>
  <c r="D933"/>
  <c r="C933"/>
  <c r="B933"/>
  <c r="J932"/>
  <c r="E932"/>
  <c r="D932"/>
  <c r="C932"/>
  <c r="B932"/>
  <c r="J931"/>
  <c r="E931"/>
  <c r="D931"/>
  <c r="C931"/>
  <c r="B931"/>
  <c r="J930"/>
  <c r="E930"/>
  <c r="D930"/>
  <c r="C930"/>
  <c r="B930"/>
  <c r="J929"/>
  <c r="E929"/>
  <c r="D929"/>
  <c r="C929"/>
  <c r="B929"/>
  <c r="J928"/>
  <c r="E928"/>
  <c r="D928"/>
  <c r="C928"/>
  <c r="B928"/>
  <c r="J927"/>
  <c r="E927"/>
  <c r="D927"/>
  <c r="C927"/>
  <c r="B927"/>
  <c r="J926"/>
  <c r="E926"/>
  <c r="D926"/>
  <c r="C926"/>
  <c r="B926"/>
  <c r="J925"/>
  <c r="E925"/>
  <c r="D925"/>
  <c r="C925"/>
  <c r="B925"/>
  <c r="J924"/>
  <c r="E924"/>
  <c r="D924"/>
  <c r="C924"/>
  <c r="B924"/>
  <c r="J923"/>
  <c r="E923"/>
  <c r="D923"/>
  <c r="C923"/>
  <c r="B923"/>
  <c r="J922"/>
  <c r="E922"/>
  <c r="D922"/>
  <c r="C922"/>
  <c r="B922"/>
  <c r="J921"/>
  <c r="E921"/>
  <c r="D921"/>
  <c r="C921"/>
  <c r="B921"/>
  <c r="J920"/>
  <c r="E920"/>
  <c r="D920"/>
  <c r="C920"/>
  <c r="B920"/>
  <c r="J919"/>
  <c r="E919"/>
  <c r="D919"/>
  <c r="C919"/>
  <c r="B919"/>
  <c r="J918"/>
  <c r="E918"/>
  <c r="D918"/>
  <c r="C918"/>
  <c r="B918"/>
  <c r="J917"/>
  <c r="E917"/>
  <c r="D917"/>
  <c r="C917"/>
  <c r="B917"/>
  <c r="J916"/>
  <c r="E916"/>
  <c r="D916"/>
  <c r="C916"/>
  <c r="B916"/>
  <c r="J915"/>
  <c r="E915"/>
  <c r="D915"/>
  <c r="C915"/>
  <c r="B915"/>
  <c r="J914"/>
  <c r="E914"/>
  <c r="D914"/>
  <c r="C914"/>
  <c r="B914"/>
  <c r="J913"/>
  <c r="E913"/>
  <c r="D913"/>
  <c r="C913"/>
  <c r="B913"/>
  <c r="J912"/>
  <c r="E912"/>
  <c r="D912"/>
  <c r="C912"/>
  <c r="B912"/>
  <c r="J911"/>
  <c r="E911"/>
  <c r="D911"/>
  <c r="C911"/>
  <c r="B911"/>
  <c r="J910"/>
  <c r="E910"/>
  <c r="D910"/>
  <c r="C910"/>
  <c r="B910"/>
  <c r="J909"/>
  <c r="E909"/>
  <c r="D909"/>
  <c r="C909"/>
  <c r="B909"/>
  <c r="J908"/>
  <c r="E908"/>
  <c r="D908"/>
  <c r="C908"/>
  <c r="B908"/>
  <c r="J907"/>
  <c r="E907"/>
  <c r="D907"/>
  <c r="C907"/>
  <c r="B907"/>
  <c r="J906"/>
  <c r="E906"/>
  <c r="D906"/>
  <c r="C906"/>
  <c r="B906"/>
  <c r="J905"/>
  <c r="E905"/>
  <c r="D905"/>
  <c r="C905"/>
  <c r="B905"/>
  <c r="J904"/>
  <c r="E904"/>
  <c r="D904"/>
  <c r="C904"/>
  <c r="B904"/>
  <c r="J903"/>
  <c r="E903"/>
  <c r="D903"/>
  <c r="C903"/>
  <c r="B903"/>
  <c r="J902"/>
  <c r="E902"/>
  <c r="D902"/>
  <c r="C902"/>
  <c r="B902"/>
  <c r="J901"/>
  <c r="E901"/>
  <c r="D901"/>
  <c r="C901"/>
  <c r="B901"/>
  <c r="J900"/>
  <c r="E900"/>
  <c r="D900"/>
  <c r="C900"/>
  <c r="B900"/>
  <c r="J899"/>
  <c r="E899"/>
  <c r="D899"/>
  <c r="C899"/>
  <c r="B899"/>
  <c r="J898"/>
  <c r="E898"/>
  <c r="D898"/>
  <c r="C898"/>
  <c r="B898"/>
  <c r="J897"/>
  <c r="E897"/>
  <c r="D897"/>
  <c r="C897"/>
  <c r="B897"/>
  <c r="J896"/>
  <c r="E896"/>
  <c r="D896"/>
  <c r="C896"/>
  <c r="B896"/>
  <c r="J895"/>
  <c r="E895"/>
  <c r="D895"/>
  <c r="C895"/>
  <c r="B895"/>
  <c r="J894"/>
  <c r="E894"/>
  <c r="D894"/>
  <c r="C894"/>
  <c r="B894"/>
  <c r="J893"/>
  <c r="E893"/>
  <c r="D893"/>
  <c r="C893"/>
  <c r="B893"/>
  <c r="J892"/>
  <c r="E892"/>
  <c r="D892"/>
  <c r="C892"/>
  <c r="B892"/>
  <c r="J891"/>
  <c r="E891"/>
  <c r="D891"/>
  <c r="C891"/>
  <c r="B891"/>
  <c r="J890"/>
  <c r="E890"/>
  <c r="D890"/>
  <c r="C890"/>
  <c r="B890"/>
  <c r="J889"/>
  <c r="E889"/>
  <c r="D889"/>
  <c r="C889"/>
  <c r="B889"/>
  <c r="J888"/>
  <c r="E888"/>
  <c r="D888"/>
  <c r="C888"/>
  <c r="B888"/>
  <c r="J887"/>
  <c r="E887"/>
  <c r="D887"/>
  <c r="C887"/>
  <c r="B887"/>
  <c r="J886"/>
  <c r="E886"/>
  <c r="D886"/>
  <c r="C886"/>
  <c r="B886"/>
  <c r="J885"/>
  <c r="E885"/>
  <c r="D885"/>
  <c r="C885"/>
  <c r="B885"/>
  <c r="J884"/>
  <c r="E884"/>
  <c r="D884"/>
  <c r="C884"/>
  <c r="B884"/>
  <c r="J883"/>
  <c r="E883"/>
  <c r="D883"/>
  <c r="C883"/>
  <c r="B883"/>
  <c r="J882"/>
  <c r="E882"/>
  <c r="D882"/>
  <c r="C882"/>
  <c r="B882"/>
  <c r="J881"/>
  <c r="E881"/>
  <c r="D881"/>
  <c r="C881"/>
  <c r="B881"/>
  <c r="J880"/>
  <c r="E880"/>
  <c r="D880"/>
  <c r="C880"/>
  <c r="B880"/>
  <c r="J879"/>
  <c r="E879"/>
  <c r="D879"/>
  <c r="C879"/>
  <c r="B879"/>
  <c r="J878"/>
  <c r="E878"/>
  <c r="D878"/>
  <c r="C878"/>
  <c r="B878"/>
  <c r="J877"/>
  <c r="E877"/>
  <c r="D877"/>
  <c r="C877"/>
  <c r="B877"/>
  <c r="J876"/>
  <c r="E876"/>
  <c r="D876"/>
  <c r="C876"/>
  <c r="B876"/>
  <c r="J875"/>
  <c r="E875"/>
  <c r="D875"/>
  <c r="C875"/>
  <c r="B875"/>
  <c r="J874"/>
  <c r="E874"/>
  <c r="D874"/>
  <c r="C874"/>
  <c r="B874"/>
  <c r="J873"/>
  <c r="E873"/>
  <c r="D873"/>
  <c r="C873"/>
  <c r="B873"/>
  <c r="J872"/>
  <c r="E872"/>
  <c r="D872"/>
  <c r="C872"/>
  <c r="B872"/>
  <c r="J871"/>
  <c r="E871"/>
  <c r="D871"/>
  <c r="C871"/>
  <c r="B871"/>
  <c r="J870"/>
  <c r="E870"/>
  <c r="D870"/>
  <c r="C870"/>
  <c r="B870"/>
  <c r="J869"/>
  <c r="E869"/>
  <c r="D869"/>
  <c r="C869"/>
  <c r="B869"/>
  <c r="J868"/>
  <c r="E868"/>
  <c r="D868"/>
  <c r="C868"/>
  <c r="B868"/>
  <c r="J867"/>
  <c r="E867"/>
  <c r="D867"/>
  <c r="C867"/>
  <c r="B867"/>
  <c r="J866"/>
  <c r="E866"/>
  <c r="D866"/>
  <c r="C866"/>
  <c r="B866"/>
  <c r="J865"/>
  <c r="E865"/>
  <c r="D865"/>
  <c r="C865"/>
  <c r="B865"/>
  <c r="J864"/>
  <c r="E864"/>
  <c r="D864"/>
  <c r="C864"/>
  <c r="B864"/>
  <c r="J863"/>
  <c r="E863"/>
  <c r="D863"/>
  <c r="C863"/>
  <c r="B863"/>
  <c r="J862"/>
  <c r="E862"/>
  <c r="D862"/>
  <c r="C862"/>
  <c r="B862"/>
  <c r="J861"/>
  <c r="E861"/>
  <c r="D861"/>
  <c r="C861"/>
  <c r="B861"/>
  <c r="J860"/>
  <c r="E860"/>
  <c r="D860"/>
  <c r="C860"/>
  <c r="B860"/>
  <c r="J859"/>
  <c r="E859"/>
  <c r="D859"/>
  <c r="C859"/>
  <c r="B859"/>
  <c r="J858"/>
  <c r="E858"/>
  <c r="D858"/>
  <c r="C858"/>
  <c r="B858"/>
  <c r="J857"/>
  <c r="E857"/>
  <c r="D857"/>
  <c r="C857"/>
  <c r="B857"/>
  <c r="J856"/>
  <c r="E856"/>
  <c r="D856"/>
  <c r="C856"/>
  <c r="B856"/>
  <c r="J855"/>
  <c r="E855"/>
  <c r="D855"/>
  <c r="C855"/>
  <c r="B855"/>
  <c r="J854"/>
  <c r="E854"/>
  <c r="D854"/>
  <c r="C854"/>
  <c r="B854"/>
  <c r="J853"/>
  <c r="E853"/>
  <c r="D853"/>
  <c r="C853"/>
  <c r="B853"/>
  <c r="J852"/>
  <c r="E852"/>
  <c r="D852"/>
  <c r="C852"/>
  <c r="B852"/>
  <c r="J851"/>
  <c r="E851"/>
  <c r="D851"/>
  <c r="C851"/>
  <c r="B851"/>
  <c r="J850"/>
  <c r="E850"/>
  <c r="D850"/>
  <c r="C850"/>
  <c r="B850"/>
  <c r="J849"/>
  <c r="E849"/>
  <c r="D849"/>
  <c r="C849"/>
  <c r="B849"/>
  <c r="J848"/>
  <c r="E848"/>
  <c r="D848"/>
  <c r="C848"/>
  <c r="B848"/>
  <c r="J847"/>
  <c r="E847"/>
  <c r="D847"/>
  <c r="C847"/>
  <c r="B847"/>
  <c r="J846"/>
  <c r="E846"/>
  <c r="D846"/>
  <c r="C846"/>
  <c r="B846"/>
  <c r="J845"/>
  <c r="E845"/>
  <c r="D845"/>
  <c r="C845"/>
  <c r="B845"/>
  <c r="J844"/>
  <c r="E844"/>
  <c r="D844"/>
  <c r="C844"/>
  <c r="B844"/>
  <c r="J843"/>
  <c r="E843"/>
  <c r="D843"/>
  <c r="C843"/>
  <c r="B843"/>
  <c r="J842"/>
  <c r="E842"/>
  <c r="D842"/>
  <c r="C842"/>
  <c r="B842"/>
  <c r="J841"/>
  <c r="E841"/>
  <c r="D841"/>
  <c r="C841"/>
  <c r="B841"/>
  <c r="J840"/>
  <c r="E840"/>
  <c r="D840"/>
  <c r="C840"/>
  <c r="B840"/>
  <c r="J839"/>
  <c r="E839"/>
  <c r="D839"/>
  <c r="C839"/>
  <c r="B839"/>
  <c r="J838"/>
  <c r="E838"/>
  <c r="D838"/>
  <c r="C838"/>
  <c r="B838"/>
  <c r="J837"/>
  <c r="E837"/>
  <c r="D837"/>
  <c r="C837"/>
  <c r="B837"/>
  <c r="J836"/>
  <c r="E836"/>
  <c r="D836"/>
  <c r="C836"/>
  <c r="B836"/>
  <c r="J835"/>
  <c r="E835"/>
  <c r="D835"/>
  <c r="C835"/>
  <c r="B835"/>
  <c r="J834"/>
  <c r="E834"/>
  <c r="D834"/>
  <c r="C834"/>
  <c r="B834"/>
  <c r="J833"/>
  <c r="E833"/>
  <c r="D833"/>
  <c r="C833"/>
  <c r="B833"/>
  <c r="J832"/>
  <c r="E832"/>
  <c r="D832"/>
  <c r="C832"/>
  <c r="B832"/>
  <c r="J831"/>
  <c r="E831"/>
  <c r="D831"/>
  <c r="C831"/>
  <c r="B831"/>
  <c r="J830"/>
  <c r="E830"/>
  <c r="D830"/>
  <c r="C830"/>
  <c r="B830"/>
  <c r="J829"/>
  <c r="E829"/>
  <c r="D829"/>
  <c r="C829"/>
  <c r="B829"/>
  <c r="J828"/>
  <c r="E828"/>
  <c r="D828"/>
  <c r="C828"/>
  <c r="B828"/>
  <c r="J827"/>
  <c r="E827"/>
  <c r="D827"/>
  <c r="C827"/>
  <c r="B827"/>
  <c r="J826"/>
  <c r="E826"/>
  <c r="D826"/>
  <c r="C826"/>
  <c r="B826"/>
  <c r="J825"/>
  <c r="E825"/>
  <c r="D825"/>
  <c r="C825"/>
  <c r="B825"/>
  <c r="J824"/>
  <c r="E824"/>
  <c r="D824"/>
  <c r="C824"/>
  <c r="B824"/>
  <c r="J823"/>
  <c r="E823"/>
  <c r="D823"/>
  <c r="C823"/>
  <c r="B823"/>
  <c r="J822"/>
  <c r="E822"/>
  <c r="D822"/>
  <c r="C822"/>
  <c r="B822"/>
  <c r="J821"/>
  <c r="E821"/>
  <c r="D821"/>
  <c r="C821"/>
  <c r="B821"/>
  <c r="J820"/>
  <c r="E820"/>
  <c r="D820"/>
  <c r="C820"/>
  <c r="B820"/>
  <c r="J819"/>
  <c r="E819"/>
  <c r="D819"/>
  <c r="C819"/>
  <c r="B819"/>
  <c r="J818"/>
  <c r="E818"/>
  <c r="D818"/>
  <c r="C818"/>
  <c r="B818"/>
  <c r="J817"/>
  <c r="E817"/>
  <c r="D817"/>
  <c r="C817"/>
  <c r="B817"/>
  <c r="J816"/>
  <c r="E816"/>
  <c r="D816"/>
  <c r="C816"/>
  <c r="B816"/>
  <c r="J815"/>
  <c r="E815"/>
  <c r="D815"/>
  <c r="C815"/>
  <c r="B815"/>
  <c r="J814"/>
  <c r="E814"/>
  <c r="D814"/>
  <c r="C814"/>
  <c r="B814"/>
  <c r="J813"/>
  <c r="E813"/>
  <c r="D813"/>
  <c r="C813"/>
  <c r="B813"/>
  <c r="J812"/>
  <c r="E812"/>
  <c r="D812"/>
  <c r="C812"/>
  <c r="B812"/>
  <c r="J811"/>
  <c r="E811"/>
  <c r="D811"/>
  <c r="C811"/>
  <c r="B811"/>
  <c r="J810"/>
  <c r="E810"/>
  <c r="D810"/>
  <c r="C810"/>
  <c r="B810"/>
  <c r="J809"/>
  <c r="E809"/>
  <c r="D809"/>
  <c r="C809"/>
  <c r="B809"/>
  <c r="J808"/>
  <c r="E808"/>
  <c r="D808"/>
  <c r="C808"/>
  <c r="B808"/>
  <c r="J807"/>
  <c r="E807"/>
  <c r="D807"/>
  <c r="C807"/>
  <c r="B807"/>
  <c r="J806"/>
  <c r="E806"/>
  <c r="D806"/>
  <c r="C806"/>
  <c r="B806"/>
  <c r="J805"/>
  <c r="E805"/>
  <c r="D805"/>
  <c r="C805"/>
  <c r="B805"/>
  <c r="J804"/>
  <c r="E804"/>
  <c r="D804"/>
  <c r="C804"/>
  <c r="B804"/>
  <c r="J803"/>
  <c r="E803"/>
  <c r="D803"/>
  <c r="C803"/>
  <c r="B803"/>
  <c r="J802"/>
  <c r="E802"/>
  <c r="D802"/>
  <c r="C802"/>
  <c r="B802"/>
  <c r="J801"/>
  <c r="E801"/>
  <c r="D801"/>
  <c r="C801"/>
  <c r="B801"/>
  <c r="J800"/>
  <c r="E800"/>
  <c r="D800"/>
  <c r="C800"/>
  <c r="B800"/>
  <c r="J799"/>
  <c r="E799"/>
  <c r="D799"/>
  <c r="C799"/>
  <c r="B799"/>
  <c r="J798"/>
  <c r="E798"/>
  <c r="D798"/>
  <c r="C798"/>
  <c r="B798"/>
  <c r="J797"/>
  <c r="E797"/>
  <c r="D797"/>
  <c r="C797"/>
  <c r="B797"/>
  <c r="J796"/>
  <c r="E796"/>
  <c r="D796"/>
  <c r="C796"/>
  <c r="B796"/>
  <c r="J795"/>
  <c r="E795"/>
  <c r="D795"/>
  <c r="C795"/>
  <c r="B795"/>
  <c r="J794"/>
  <c r="E794"/>
  <c r="D794"/>
  <c r="C794"/>
  <c r="B794"/>
  <c r="J793"/>
  <c r="E793"/>
  <c r="D793"/>
  <c r="C793"/>
  <c r="B793"/>
  <c r="J792"/>
  <c r="E792"/>
  <c r="D792"/>
  <c r="C792"/>
  <c r="B792"/>
  <c r="J791"/>
  <c r="E791"/>
  <c r="D791"/>
  <c r="C791"/>
  <c r="B791"/>
  <c r="J790"/>
  <c r="E790"/>
  <c r="D790"/>
  <c r="C790"/>
  <c r="B790"/>
  <c r="J789"/>
  <c r="E789"/>
  <c r="D789"/>
  <c r="C789"/>
  <c r="B789"/>
  <c r="J788"/>
  <c r="E788"/>
  <c r="D788"/>
  <c r="C788"/>
  <c r="B788"/>
  <c r="J787"/>
  <c r="E787"/>
  <c r="D787"/>
  <c r="C787"/>
  <c r="B787"/>
  <c r="J786"/>
  <c r="E786"/>
  <c r="D786"/>
  <c r="C786"/>
  <c r="B786"/>
  <c r="J785"/>
  <c r="E785"/>
  <c r="D785"/>
  <c r="C785"/>
  <c r="B785"/>
  <c r="J784"/>
  <c r="E784"/>
  <c r="D784"/>
  <c r="C784"/>
  <c r="B784"/>
  <c r="J783"/>
  <c r="E783"/>
  <c r="D783"/>
  <c r="C783"/>
  <c r="B783"/>
  <c r="J782"/>
  <c r="E782"/>
  <c r="D782"/>
  <c r="C782"/>
  <c r="B782"/>
  <c r="J781"/>
  <c r="E781"/>
  <c r="D781"/>
  <c r="C781"/>
  <c r="B781"/>
  <c r="J780"/>
  <c r="E780"/>
  <c r="D780"/>
  <c r="C780"/>
  <c r="B780"/>
  <c r="J779"/>
  <c r="E779"/>
  <c r="D779"/>
  <c r="C779"/>
  <c r="B779"/>
  <c r="J778"/>
  <c r="E778"/>
  <c r="D778"/>
  <c r="C778"/>
  <c r="B778"/>
  <c r="J777"/>
  <c r="E777"/>
  <c r="D777"/>
  <c r="C777"/>
  <c r="B777"/>
  <c r="J776"/>
  <c r="E776"/>
  <c r="D776"/>
  <c r="C776"/>
  <c r="B776"/>
  <c r="J775"/>
  <c r="E775"/>
  <c r="D775"/>
  <c r="C775"/>
  <c r="B775"/>
  <c r="J774"/>
  <c r="E774"/>
  <c r="D774"/>
  <c r="C774"/>
  <c r="B774"/>
  <c r="J773"/>
  <c r="E773"/>
  <c r="D773"/>
  <c r="C773"/>
  <c r="B773"/>
  <c r="J772"/>
  <c r="E772"/>
  <c r="D772"/>
  <c r="C772"/>
  <c r="B772"/>
  <c r="J771"/>
  <c r="E771"/>
  <c r="D771"/>
  <c r="C771"/>
  <c r="B771"/>
  <c r="J770"/>
  <c r="E770"/>
  <c r="D770"/>
  <c r="C770"/>
  <c r="B770"/>
  <c r="J769"/>
  <c r="E769"/>
  <c r="D769"/>
  <c r="C769"/>
  <c r="B769"/>
  <c r="J768"/>
  <c r="E768"/>
  <c r="D768"/>
  <c r="C768"/>
  <c r="B768"/>
  <c r="J767"/>
  <c r="E767"/>
  <c r="D767"/>
  <c r="C767"/>
  <c r="B767"/>
  <c r="J766"/>
  <c r="E766"/>
  <c r="D766"/>
  <c r="C766"/>
  <c r="B766"/>
  <c r="J765"/>
  <c r="E765"/>
  <c r="D765"/>
  <c r="C765"/>
  <c r="B765"/>
  <c r="J764"/>
  <c r="E764"/>
  <c r="D764"/>
  <c r="C764"/>
  <c r="B764"/>
  <c r="J763"/>
  <c r="E763"/>
  <c r="D763"/>
  <c r="C763"/>
  <c r="B763"/>
  <c r="J762"/>
  <c r="E762"/>
  <c r="D762"/>
  <c r="C762"/>
  <c r="B762"/>
  <c r="J761"/>
  <c r="E761"/>
  <c r="D761"/>
  <c r="C761"/>
  <c r="B761"/>
  <c r="J760"/>
  <c r="E760"/>
  <c r="D760"/>
  <c r="C760"/>
  <c r="B760"/>
  <c r="J759"/>
  <c r="E759"/>
  <c r="D759"/>
  <c r="C759"/>
  <c r="B759"/>
  <c r="J758"/>
  <c r="E758"/>
  <c r="D758"/>
  <c r="C758"/>
  <c r="B758"/>
  <c r="J757"/>
  <c r="E757"/>
  <c r="D757"/>
  <c r="C757"/>
  <c r="B757"/>
  <c r="J756"/>
  <c r="E756"/>
  <c r="D756"/>
  <c r="C756"/>
  <c r="B756"/>
  <c r="J755"/>
  <c r="E755"/>
  <c r="D755"/>
  <c r="C755"/>
  <c r="B755"/>
  <c r="J754"/>
  <c r="E754"/>
  <c r="D754"/>
  <c r="C754"/>
  <c r="B754"/>
  <c r="J753"/>
  <c r="E753"/>
  <c r="D753"/>
  <c r="C753"/>
  <c r="B753"/>
  <c r="J752"/>
  <c r="E752"/>
  <c r="D752"/>
  <c r="C752"/>
  <c r="B752"/>
  <c r="J751"/>
  <c r="E751"/>
  <c r="D751"/>
  <c r="C751"/>
  <c r="B751"/>
  <c r="J750"/>
  <c r="E750"/>
  <c r="D750"/>
  <c r="C750"/>
  <c r="B750"/>
  <c r="J749"/>
  <c r="E749"/>
  <c r="D749"/>
  <c r="C749"/>
  <c r="B749"/>
  <c r="J748"/>
  <c r="E748"/>
  <c r="D748"/>
  <c r="C748"/>
  <c r="B748"/>
  <c r="J747"/>
  <c r="E747"/>
  <c r="D747"/>
  <c r="C747"/>
  <c r="B747"/>
  <c r="J746"/>
  <c r="E746"/>
  <c r="D746"/>
  <c r="C746"/>
  <c r="B746"/>
  <c r="J745"/>
  <c r="E745"/>
  <c r="D745"/>
  <c r="C745"/>
  <c r="B745"/>
  <c r="J744"/>
  <c r="E744"/>
  <c r="D744"/>
  <c r="C744"/>
  <c r="B744"/>
  <c r="J743"/>
  <c r="E743"/>
  <c r="D743"/>
  <c r="C743"/>
  <c r="B743"/>
  <c r="J742"/>
  <c r="E742"/>
  <c r="D742"/>
  <c r="C742"/>
  <c r="B742"/>
  <c r="J741"/>
  <c r="E741"/>
  <c r="D741"/>
  <c r="C741"/>
  <c r="B741"/>
  <c r="J740"/>
  <c r="E740"/>
  <c r="D740"/>
  <c r="C740"/>
  <c r="B740"/>
  <c r="J739"/>
  <c r="E739"/>
  <c r="D739"/>
  <c r="C739"/>
  <c r="B739"/>
  <c r="J738"/>
  <c r="E738"/>
  <c r="D738"/>
  <c r="C738"/>
  <c r="B738"/>
  <c r="J737"/>
  <c r="E737"/>
  <c r="D737"/>
  <c r="C737"/>
  <c r="B737"/>
  <c r="J736"/>
  <c r="E736"/>
  <c r="D736"/>
  <c r="C736"/>
  <c r="B736"/>
  <c r="J735"/>
  <c r="E735"/>
  <c r="D735"/>
  <c r="C735"/>
  <c r="B735"/>
  <c r="J734"/>
  <c r="E734"/>
  <c r="D734"/>
  <c r="C734"/>
  <c r="B734"/>
  <c r="J733"/>
  <c r="E733"/>
  <c r="D733"/>
  <c r="C733"/>
  <c r="B733"/>
  <c r="J732"/>
  <c r="E732"/>
  <c r="D732"/>
  <c r="C732"/>
  <c r="B732"/>
  <c r="J731"/>
  <c r="E731"/>
  <c r="D731"/>
  <c r="C731"/>
  <c r="B731"/>
  <c r="J730"/>
  <c r="E730"/>
  <c r="D730"/>
  <c r="C730"/>
  <c r="B730"/>
  <c r="J729"/>
  <c r="E729"/>
  <c r="D729"/>
  <c r="C729"/>
  <c r="B729"/>
  <c r="J728"/>
  <c r="E728"/>
  <c r="D728"/>
  <c r="C728"/>
  <c r="B728"/>
  <c r="J727"/>
  <c r="E727"/>
  <c r="D727"/>
  <c r="C727"/>
  <c r="B727"/>
  <c r="J726"/>
  <c r="E726"/>
  <c r="D726"/>
  <c r="C726"/>
  <c r="B726"/>
  <c r="J725"/>
  <c r="E725"/>
  <c r="D725"/>
  <c r="C725"/>
  <c r="B725"/>
  <c r="J724"/>
  <c r="E724"/>
  <c r="D724"/>
  <c r="C724"/>
  <c r="B724"/>
  <c r="J723"/>
  <c r="E723"/>
  <c r="D723"/>
  <c r="C723"/>
  <c r="B723"/>
  <c r="J722"/>
  <c r="E722"/>
  <c r="D722"/>
  <c r="C722"/>
  <c r="B722"/>
  <c r="J721"/>
  <c r="E721"/>
  <c r="D721"/>
  <c r="C721"/>
  <c r="B721"/>
  <c r="J720"/>
  <c r="E720"/>
  <c r="D720"/>
  <c r="C720"/>
  <c r="B720"/>
  <c r="J719"/>
  <c r="E719"/>
  <c r="D719"/>
  <c r="C719"/>
  <c r="B719"/>
  <c r="J718"/>
  <c r="E718"/>
  <c r="D718"/>
  <c r="C718"/>
  <c r="B718"/>
  <c r="J717"/>
  <c r="E717"/>
  <c r="D717"/>
  <c r="C717"/>
  <c r="B717"/>
  <c r="J716"/>
  <c r="E716"/>
  <c r="D716"/>
  <c r="C716"/>
  <c r="B716"/>
  <c r="J715"/>
  <c r="E715"/>
  <c r="D715"/>
  <c r="C715"/>
  <c r="B715"/>
  <c r="J714"/>
  <c r="E714"/>
  <c r="D714"/>
  <c r="C714"/>
  <c r="B714"/>
  <c r="J713"/>
  <c r="E713"/>
  <c r="D713"/>
  <c r="C713"/>
  <c r="B713"/>
  <c r="J712"/>
  <c r="E712"/>
  <c r="D712"/>
  <c r="C712"/>
  <c r="B712"/>
  <c r="J711"/>
  <c r="E711"/>
  <c r="D711"/>
  <c r="C711"/>
  <c r="B711"/>
  <c r="J710"/>
  <c r="E710"/>
  <c r="D710"/>
  <c r="C710"/>
  <c r="B710"/>
  <c r="J709"/>
  <c r="E709"/>
  <c r="D709"/>
  <c r="C709"/>
  <c r="B709"/>
  <c r="J708"/>
  <c r="E708"/>
  <c r="D708"/>
  <c r="C708"/>
  <c r="B708"/>
  <c r="J707"/>
  <c r="E707"/>
  <c r="D707"/>
  <c r="C707"/>
  <c r="B707"/>
  <c r="J706"/>
  <c r="E706"/>
  <c r="D706"/>
  <c r="C706"/>
  <c r="B706"/>
  <c r="J705"/>
  <c r="E705"/>
  <c r="D705"/>
  <c r="C705"/>
  <c r="B705"/>
  <c r="J704"/>
  <c r="E704"/>
  <c r="D704"/>
  <c r="C704"/>
  <c r="B704"/>
  <c r="J703"/>
  <c r="E703"/>
  <c r="D703"/>
  <c r="C703"/>
  <c r="B703"/>
  <c r="J702"/>
  <c r="E702"/>
  <c r="D702"/>
  <c r="C702"/>
  <c r="B702"/>
  <c r="J701"/>
  <c r="E701"/>
  <c r="D701"/>
  <c r="C701"/>
  <c r="B701"/>
  <c r="J700"/>
  <c r="E700"/>
  <c r="D700"/>
  <c r="C700"/>
  <c r="B700"/>
  <c r="J699"/>
  <c r="E699"/>
  <c r="D699"/>
  <c r="C699"/>
  <c r="B699"/>
  <c r="J698"/>
  <c r="E698"/>
  <c r="D698"/>
  <c r="C698"/>
  <c r="B698"/>
  <c r="J697"/>
  <c r="E697"/>
  <c r="D697"/>
  <c r="C697"/>
  <c r="B697"/>
  <c r="J696"/>
  <c r="E696"/>
  <c r="D696"/>
  <c r="C696"/>
  <c r="B696"/>
  <c r="J695"/>
  <c r="E695"/>
  <c r="D695"/>
  <c r="C695"/>
  <c r="B695"/>
  <c r="J694"/>
  <c r="E694"/>
  <c r="D694"/>
  <c r="C694"/>
  <c r="B694"/>
  <c r="J693"/>
  <c r="E693"/>
  <c r="D693"/>
  <c r="C693"/>
  <c r="B693"/>
  <c r="J692"/>
  <c r="E692"/>
  <c r="D692"/>
  <c r="C692"/>
  <c r="B692"/>
  <c r="J691"/>
  <c r="E691"/>
  <c r="D691"/>
  <c r="C691"/>
  <c r="B691"/>
  <c r="J690"/>
  <c r="E690"/>
  <c r="D690"/>
  <c r="C690"/>
  <c r="B690"/>
  <c r="J689"/>
  <c r="E689"/>
  <c r="D689"/>
  <c r="C689"/>
  <c r="B689"/>
  <c r="J688"/>
  <c r="E688"/>
  <c r="D688"/>
  <c r="C688"/>
  <c r="B688"/>
  <c r="J687"/>
  <c r="E687"/>
  <c r="D687"/>
  <c r="C687"/>
  <c r="B687"/>
  <c r="J686"/>
  <c r="E686"/>
  <c r="D686"/>
  <c r="C686"/>
  <c r="B686"/>
  <c r="J685"/>
  <c r="E685"/>
  <c r="D685"/>
  <c r="C685"/>
  <c r="B685"/>
  <c r="J684"/>
  <c r="E684"/>
  <c r="D684"/>
  <c r="C684"/>
  <c r="B684"/>
  <c r="J683"/>
  <c r="E683"/>
  <c r="D683"/>
  <c r="C683"/>
  <c r="B683"/>
  <c r="J682"/>
  <c r="E682"/>
  <c r="D682"/>
  <c r="C682"/>
  <c r="B682"/>
  <c r="J681"/>
  <c r="E681"/>
  <c r="D681"/>
  <c r="C681"/>
  <c r="B681"/>
  <c r="J680"/>
  <c r="E680"/>
  <c r="D680"/>
  <c r="C680"/>
  <c r="B680"/>
  <c r="J679"/>
  <c r="E679"/>
  <c r="D679"/>
  <c r="C679"/>
  <c r="B679"/>
  <c r="J678"/>
  <c r="E678"/>
  <c r="D678"/>
  <c r="C678"/>
  <c r="B678"/>
  <c r="J677"/>
  <c r="E677"/>
  <c r="D677"/>
  <c r="C677"/>
  <c r="B677"/>
  <c r="J676"/>
  <c r="E676"/>
  <c r="D676"/>
  <c r="C676"/>
  <c r="B676"/>
  <c r="J675"/>
  <c r="E675"/>
  <c r="D675"/>
  <c r="C675"/>
  <c r="B675"/>
  <c r="J674"/>
  <c r="E674"/>
  <c r="D674"/>
  <c r="C674"/>
  <c r="B674"/>
  <c r="J673"/>
  <c r="E673"/>
  <c r="D673"/>
  <c r="C673"/>
  <c r="B673"/>
  <c r="J672"/>
  <c r="E672"/>
  <c r="D672"/>
  <c r="C672"/>
  <c r="B672"/>
  <c r="J671"/>
  <c r="E671"/>
  <c r="D671"/>
  <c r="C671"/>
  <c r="B671"/>
  <c r="J670"/>
  <c r="E670"/>
  <c r="D670"/>
  <c r="C670"/>
  <c r="B670"/>
  <c r="J669"/>
  <c r="E669"/>
  <c r="D669"/>
  <c r="C669"/>
  <c r="B669"/>
  <c r="J668"/>
  <c r="E668"/>
  <c r="D668"/>
  <c r="C668"/>
  <c r="B668"/>
  <c r="J667"/>
  <c r="E667"/>
  <c r="D667"/>
  <c r="C667"/>
  <c r="B667"/>
  <c r="J666"/>
  <c r="E666"/>
  <c r="D666"/>
  <c r="C666"/>
  <c r="B666"/>
  <c r="J665"/>
  <c r="E665"/>
  <c r="D665"/>
  <c r="C665"/>
  <c r="B665"/>
  <c r="J664"/>
  <c r="E664"/>
  <c r="D664"/>
  <c r="C664"/>
  <c r="B664"/>
  <c r="J663"/>
  <c r="E663"/>
  <c r="D663"/>
  <c r="C663"/>
  <c r="B663"/>
  <c r="J662"/>
  <c r="E662"/>
  <c r="D662"/>
  <c r="C662"/>
  <c r="B662"/>
  <c r="J661"/>
  <c r="E661"/>
  <c r="D661"/>
  <c r="C661"/>
  <c r="B661"/>
  <c r="J660"/>
  <c r="E660"/>
  <c r="D660"/>
  <c r="C660"/>
  <c r="B660"/>
  <c r="J659"/>
  <c r="E659"/>
  <c r="D659"/>
  <c r="C659"/>
  <c r="B659"/>
  <c r="J658"/>
  <c r="E658"/>
  <c r="D658"/>
  <c r="C658"/>
  <c r="B658"/>
  <c r="J657"/>
  <c r="E657"/>
  <c r="D657"/>
  <c r="C657"/>
  <c r="B657"/>
  <c r="J656"/>
  <c r="E656"/>
  <c r="D656"/>
  <c r="C656"/>
  <c r="B656"/>
  <c r="J655"/>
  <c r="E655"/>
  <c r="D655"/>
  <c r="C655"/>
  <c r="B655"/>
  <c r="J654"/>
  <c r="E654"/>
  <c r="D654"/>
  <c r="C654"/>
  <c r="B654"/>
  <c r="J653"/>
  <c r="E653"/>
  <c r="D653"/>
  <c r="C653"/>
  <c r="B653"/>
  <c r="J652"/>
  <c r="E652"/>
  <c r="D652"/>
  <c r="C652"/>
  <c r="B652"/>
  <c r="J651"/>
  <c r="E651"/>
  <c r="D651"/>
  <c r="C651"/>
  <c r="B651"/>
  <c r="J650"/>
  <c r="E650"/>
  <c r="D650"/>
  <c r="C650"/>
  <c r="B650"/>
  <c r="J649"/>
  <c r="E649"/>
  <c r="D649"/>
  <c r="C649"/>
  <c r="B649"/>
  <c r="J648"/>
  <c r="E648"/>
  <c r="D648"/>
  <c r="C648"/>
  <c r="B648"/>
  <c r="J647"/>
  <c r="E647"/>
  <c r="D647"/>
  <c r="C647"/>
  <c r="B647"/>
  <c r="J646"/>
  <c r="E646"/>
  <c r="D646"/>
  <c r="C646"/>
  <c r="B646"/>
  <c r="J645"/>
  <c r="E645"/>
  <c r="D645"/>
  <c r="C645"/>
  <c r="B645"/>
  <c r="J644"/>
  <c r="E644"/>
  <c r="D644"/>
  <c r="C644"/>
  <c r="B644"/>
  <c r="J643"/>
  <c r="E643"/>
  <c r="D643"/>
  <c r="C643"/>
  <c r="B643"/>
  <c r="J642"/>
  <c r="E642"/>
  <c r="D642"/>
  <c r="C642"/>
  <c r="B642"/>
  <c r="J641"/>
  <c r="E641"/>
  <c r="D641"/>
  <c r="C641"/>
  <c r="B641"/>
  <c r="J640"/>
  <c r="E640"/>
  <c r="D640"/>
  <c r="C640"/>
  <c r="B640"/>
  <c r="J639"/>
  <c r="E639"/>
  <c r="D639"/>
  <c r="C639"/>
  <c r="B639"/>
  <c r="J638"/>
  <c r="E638"/>
  <c r="D638"/>
  <c r="C638"/>
  <c r="B638"/>
  <c r="J637"/>
  <c r="E637"/>
  <c r="D637"/>
  <c r="C637"/>
  <c r="B637"/>
  <c r="J636"/>
  <c r="E636"/>
  <c r="D636"/>
  <c r="C636"/>
  <c r="B636"/>
  <c r="J635"/>
  <c r="E635"/>
  <c r="D635"/>
  <c r="C635"/>
  <c r="B635"/>
  <c r="J634"/>
  <c r="E634"/>
  <c r="D634"/>
  <c r="C634"/>
  <c r="B634"/>
  <c r="J633"/>
  <c r="E633"/>
  <c r="D633"/>
  <c r="C633"/>
  <c r="B633"/>
  <c r="J632"/>
  <c r="E632"/>
  <c r="D632"/>
  <c r="C632"/>
  <c r="B632"/>
  <c r="J631"/>
  <c r="E631"/>
  <c r="D631"/>
  <c r="C631"/>
  <c r="B631"/>
  <c r="J630"/>
  <c r="E630"/>
  <c r="D630"/>
  <c r="C630"/>
  <c r="B630"/>
  <c r="J629"/>
  <c r="E629"/>
  <c r="D629"/>
  <c r="C629"/>
  <c r="B629"/>
  <c r="J628"/>
  <c r="E628"/>
  <c r="D628"/>
  <c r="C628"/>
  <c r="B628"/>
  <c r="J627"/>
  <c r="E627"/>
  <c r="D627"/>
  <c r="C627"/>
  <c r="B627"/>
  <c r="J626"/>
  <c r="E626"/>
  <c r="D626"/>
  <c r="C626"/>
  <c r="B626"/>
  <c r="J625"/>
  <c r="E625"/>
  <c r="D625"/>
  <c r="C625"/>
  <c r="B625"/>
  <c r="J624"/>
  <c r="E624"/>
  <c r="D624"/>
  <c r="C624"/>
  <c r="B624"/>
  <c r="J623"/>
  <c r="E623"/>
  <c r="D623"/>
  <c r="C623"/>
  <c r="B623"/>
  <c r="J622"/>
  <c r="E622"/>
  <c r="D622"/>
  <c r="C622"/>
  <c r="B622"/>
  <c r="J621"/>
  <c r="E621"/>
  <c r="D621"/>
  <c r="C621"/>
  <c r="B621"/>
  <c r="J620"/>
  <c r="E620"/>
  <c r="D620"/>
  <c r="C620"/>
  <c r="B620"/>
  <c r="J619"/>
  <c r="E619"/>
  <c r="D619"/>
  <c r="C619"/>
  <c r="B619"/>
  <c r="J618"/>
  <c r="E618"/>
  <c r="D618"/>
  <c r="C618"/>
  <c r="B618"/>
  <c r="J617"/>
  <c r="E617"/>
  <c r="D617"/>
  <c r="C617"/>
  <c r="B617"/>
  <c r="J616"/>
  <c r="E616"/>
  <c r="D616"/>
  <c r="C616"/>
  <c r="B616"/>
  <c r="J615"/>
  <c r="E615"/>
  <c r="D615"/>
  <c r="C615"/>
  <c r="B615"/>
  <c r="J614"/>
  <c r="E614"/>
  <c r="D614"/>
  <c r="C614"/>
  <c r="B614"/>
  <c r="J613"/>
  <c r="E613"/>
  <c r="D613"/>
  <c r="C613"/>
  <c r="B613"/>
  <c r="J612"/>
  <c r="E612"/>
  <c r="D612"/>
  <c r="C612"/>
  <c r="B612"/>
  <c r="J611"/>
  <c r="E611"/>
  <c r="D611"/>
  <c r="C611"/>
  <c r="B611"/>
  <c r="J610"/>
  <c r="E610"/>
  <c r="D610"/>
  <c r="C610"/>
  <c r="B610"/>
  <c r="J609"/>
  <c r="E609"/>
  <c r="D609"/>
  <c r="C609"/>
  <c r="B609"/>
  <c r="J608"/>
  <c r="E608"/>
  <c r="D608"/>
  <c r="C608"/>
  <c r="B608"/>
  <c r="J607"/>
  <c r="E607"/>
  <c r="D607"/>
  <c r="C607"/>
  <c r="B607"/>
  <c r="J606"/>
  <c r="E606"/>
  <c r="D606"/>
  <c r="C606"/>
  <c r="B606"/>
  <c r="J605"/>
  <c r="E605"/>
  <c r="D605"/>
  <c r="C605"/>
  <c r="B605"/>
  <c r="J604"/>
  <c r="E604"/>
  <c r="D604"/>
  <c r="C604"/>
  <c r="B604"/>
  <c r="J603"/>
  <c r="E603"/>
  <c r="D603"/>
  <c r="C603"/>
  <c r="B603"/>
  <c r="J602"/>
  <c r="E602"/>
  <c r="D602"/>
  <c r="C602"/>
  <c r="B602"/>
  <c r="J601"/>
  <c r="E601"/>
  <c r="D601"/>
  <c r="C601"/>
  <c r="B601"/>
  <c r="J600"/>
  <c r="E600"/>
  <c r="D600"/>
  <c r="C600"/>
  <c r="B600"/>
  <c r="J599"/>
  <c r="E599"/>
  <c r="D599"/>
  <c r="C599"/>
  <c r="B599"/>
  <c r="J598"/>
  <c r="E598"/>
  <c r="D598"/>
  <c r="C598"/>
  <c r="B598"/>
  <c r="J597"/>
  <c r="E597"/>
  <c r="D597"/>
  <c r="C597"/>
  <c r="B597"/>
  <c r="J596"/>
  <c r="E596"/>
  <c r="D596"/>
  <c r="C596"/>
  <c r="B596"/>
  <c r="J595"/>
  <c r="E595"/>
  <c r="D595"/>
  <c r="C595"/>
  <c r="B595"/>
  <c r="J594"/>
  <c r="E594"/>
  <c r="D594"/>
  <c r="C594"/>
  <c r="B594"/>
  <c r="J593"/>
  <c r="E593"/>
  <c r="D593"/>
  <c r="C593"/>
  <c r="B593"/>
  <c r="J592"/>
  <c r="E592"/>
  <c r="D592"/>
  <c r="C592"/>
  <c r="B592"/>
  <c r="J591"/>
  <c r="E591"/>
  <c r="D591"/>
  <c r="C591"/>
  <c r="B591"/>
  <c r="J590"/>
  <c r="E590"/>
  <c r="D590"/>
  <c r="C590"/>
  <c r="B590"/>
  <c r="J589"/>
  <c r="E589"/>
  <c r="D589"/>
  <c r="C589"/>
  <c r="B589"/>
  <c r="J588"/>
  <c r="E588"/>
  <c r="D588"/>
  <c r="C588"/>
  <c r="B588"/>
  <c r="J587"/>
  <c r="E587"/>
  <c r="D587"/>
  <c r="C587"/>
  <c r="B587"/>
  <c r="J586"/>
  <c r="E586"/>
  <c r="D586"/>
  <c r="C586"/>
  <c r="B586"/>
  <c r="J585"/>
  <c r="E585"/>
  <c r="D585"/>
  <c r="C585"/>
  <c r="B585"/>
  <c r="J584"/>
  <c r="E584"/>
  <c r="D584"/>
  <c r="C584"/>
  <c r="B584"/>
  <c r="J583"/>
  <c r="E583"/>
  <c r="D583"/>
  <c r="C583"/>
  <c r="B583"/>
  <c r="J582"/>
  <c r="E582"/>
  <c r="D582"/>
  <c r="C582"/>
  <c r="B582"/>
  <c r="J581"/>
  <c r="E581"/>
  <c r="D581"/>
  <c r="C581"/>
  <c r="B581"/>
  <c r="J580"/>
  <c r="E580"/>
  <c r="D580"/>
  <c r="C580"/>
  <c r="B580"/>
  <c r="J579"/>
  <c r="E579"/>
  <c r="D579"/>
  <c r="C579"/>
  <c r="B579"/>
  <c r="J578"/>
  <c r="E578"/>
  <c r="D578"/>
  <c r="C578"/>
  <c r="B578"/>
  <c r="J577"/>
  <c r="E577"/>
  <c r="D577"/>
  <c r="C577"/>
  <c r="B577"/>
  <c r="J576"/>
  <c r="E576"/>
  <c r="D576"/>
  <c r="C576"/>
  <c r="B576"/>
  <c r="J575"/>
  <c r="E575"/>
  <c r="D575"/>
  <c r="C575"/>
  <c r="B575"/>
  <c r="J574"/>
  <c r="E574"/>
  <c r="D574"/>
  <c r="C574"/>
  <c r="B574"/>
  <c r="J573"/>
  <c r="E573"/>
  <c r="D573"/>
  <c r="C573"/>
  <c r="B573"/>
  <c r="J572"/>
  <c r="E572"/>
  <c r="D572"/>
  <c r="C572"/>
  <c r="B572"/>
  <c r="J571"/>
  <c r="E571"/>
  <c r="D571"/>
  <c r="C571"/>
  <c r="B571"/>
  <c r="J570"/>
  <c r="E570"/>
  <c r="D570"/>
  <c r="C570"/>
  <c r="B570"/>
  <c r="J569"/>
  <c r="E569"/>
  <c r="D569"/>
  <c r="C569"/>
  <c r="B569"/>
  <c r="J568"/>
  <c r="E568"/>
  <c r="D568"/>
  <c r="C568"/>
  <c r="B568"/>
  <c r="J567"/>
  <c r="E567"/>
  <c r="D567"/>
  <c r="C567"/>
  <c r="B567"/>
  <c r="J566"/>
  <c r="E566"/>
  <c r="D566"/>
  <c r="C566"/>
  <c r="B566"/>
  <c r="J565"/>
  <c r="E565"/>
  <c r="D565"/>
  <c r="C565"/>
  <c r="B565"/>
  <c r="J564"/>
  <c r="E564"/>
  <c r="D564"/>
  <c r="C564"/>
  <c r="B564"/>
  <c r="J563"/>
  <c r="E563"/>
  <c r="D563"/>
  <c r="C563"/>
  <c r="B563"/>
  <c r="J562"/>
  <c r="E562"/>
  <c r="D562"/>
  <c r="C562"/>
  <c r="B562"/>
  <c r="J561"/>
  <c r="E561"/>
  <c r="D561"/>
  <c r="C561"/>
  <c r="B561"/>
  <c r="J560"/>
  <c r="E560"/>
  <c r="D560"/>
  <c r="C560"/>
  <c r="B560"/>
  <c r="J559"/>
  <c r="E559"/>
  <c r="D559"/>
  <c r="C559"/>
  <c r="B559"/>
  <c r="J558"/>
  <c r="E558"/>
  <c r="D558"/>
  <c r="C558"/>
  <c r="B558"/>
  <c r="J557"/>
  <c r="E557"/>
  <c r="D557"/>
  <c r="C557"/>
  <c r="B557"/>
  <c r="J556"/>
  <c r="E556"/>
  <c r="D556"/>
  <c r="C556"/>
  <c r="B556"/>
  <c r="J555"/>
  <c r="E555"/>
  <c r="D555"/>
  <c r="C555"/>
  <c r="B555"/>
  <c r="J554"/>
  <c r="E554"/>
  <c r="D554"/>
  <c r="C554"/>
  <c r="B554"/>
  <c r="J553"/>
  <c r="E553"/>
  <c r="D553"/>
  <c r="C553"/>
  <c r="B553"/>
  <c r="J552"/>
  <c r="E552"/>
  <c r="D552"/>
  <c r="C552"/>
  <c r="B552"/>
  <c r="J551"/>
  <c r="E551"/>
  <c r="D551"/>
  <c r="C551"/>
  <c r="B551"/>
  <c r="J550"/>
  <c r="E550"/>
  <c r="D550"/>
  <c r="C550"/>
  <c r="B550"/>
  <c r="J549"/>
  <c r="E549"/>
  <c r="D549"/>
  <c r="C549"/>
  <c r="B549"/>
  <c r="J548"/>
  <c r="E548"/>
  <c r="D548"/>
  <c r="C548"/>
  <c r="B548"/>
  <c r="J547"/>
  <c r="E547"/>
  <c r="D547"/>
  <c r="C547"/>
  <c r="B547"/>
  <c r="J546"/>
  <c r="E546"/>
  <c r="D546"/>
  <c r="C546"/>
  <c r="B546"/>
  <c r="J545"/>
  <c r="E545"/>
  <c r="D545"/>
  <c r="C545"/>
  <c r="B545"/>
  <c r="J544"/>
  <c r="E544"/>
  <c r="D544"/>
  <c r="C544"/>
  <c r="B544"/>
  <c r="J543"/>
  <c r="E543"/>
  <c r="D543"/>
  <c r="C543"/>
  <c r="B543"/>
  <c r="J542"/>
  <c r="E542"/>
  <c r="D542"/>
  <c r="C542"/>
  <c r="B542"/>
  <c r="J541"/>
  <c r="E541"/>
  <c r="D541"/>
  <c r="C541"/>
  <c r="B541"/>
  <c r="J540"/>
  <c r="E540"/>
  <c r="D540"/>
  <c r="C540"/>
  <c r="B540"/>
  <c r="J539"/>
  <c r="E539"/>
  <c r="D539"/>
  <c r="C539"/>
  <c r="B539"/>
  <c r="J538"/>
  <c r="E538"/>
  <c r="D538"/>
  <c r="C538"/>
  <c r="B538"/>
  <c r="J537"/>
  <c r="E537"/>
  <c r="D537"/>
  <c r="C537"/>
  <c r="B537"/>
  <c r="J536"/>
  <c r="E536"/>
  <c r="D536"/>
  <c r="C536"/>
  <c r="B536"/>
  <c r="J535"/>
  <c r="E535"/>
  <c r="D535"/>
  <c r="C535"/>
  <c r="B535"/>
  <c r="J534"/>
  <c r="E534"/>
  <c r="D534"/>
  <c r="C534"/>
  <c r="B534"/>
  <c r="J533"/>
  <c r="E533"/>
  <c r="D533"/>
  <c r="C533"/>
  <c r="B533"/>
  <c r="J532"/>
  <c r="E532"/>
  <c r="D532"/>
  <c r="C532"/>
  <c r="B532"/>
  <c r="J531"/>
  <c r="E531"/>
  <c r="D531"/>
  <c r="C531"/>
  <c r="B531"/>
  <c r="J530"/>
  <c r="E530"/>
  <c r="D530"/>
  <c r="C530"/>
  <c r="B530"/>
  <c r="J529"/>
  <c r="E529"/>
  <c r="D529"/>
  <c r="C529"/>
  <c r="B529"/>
  <c r="J528"/>
  <c r="E528"/>
  <c r="D528"/>
  <c r="C528"/>
  <c r="B528"/>
  <c r="J527"/>
  <c r="E527"/>
  <c r="D527"/>
  <c r="C527"/>
  <c r="B527"/>
  <c r="J526"/>
  <c r="E526"/>
  <c r="D526"/>
  <c r="C526"/>
  <c r="B526"/>
  <c r="J525"/>
  <c r="E525"/>
  <c r="D525"/>
  <c r="C525"/>
  <c r="B525"/>
  <c r="J524"/>
  <c r="E524"/>
  <c r="D524"/>
  <c r="C524"/>
  <c r="B524"/>
  <c r="J523"/>
  <c r="E523"/>
  <c r="D523"/>
  <c r="C523"/>
  <c r="B523"/>
  <c r="J522"/>
  <c r="E522"/>
  <c r="D522"/>
  <c r="C522"/>
  <c r="B522"/>
  <c r="J521"/>
  <c r="E521"/>
  <c r="D521"/>
  <c r="C521"/>
  <c r="B521"/>
  <c r="J520"/>
  <c r="E520"/>
  <c r="D520"/>
  <c r="C520"/>
  <c r="B520"/>
  <c r="J519"/>
  <c r="E519"/>
  <c r="D519"/>
  <c r="C519"/>
  <c r="B519"/>
  <c r="J518"/>
  <c r="E518"/>
  <c r="D518"/>
  <c r="C518"/>
  <c r="B518"/>
  <c r="J517"/>
  <c r="E517"/>
  <c r="D517"/>
  <c r="C517"/>
  <c r="B517"/>
  <c r="J516"/>
  <c r="E516"/>
  <c r="D516"/>
  <c r="C516"/>
  <c r="B516"/>
  <c r="J515"/>
  <c r="E515"/>
  <c r="D515"/>
  <c r="C515"/>
  <c r="B515"/>
  <c r="J514"/>
  <c r="E514"/>
  <c r="D514"/>
  <c r="C514"/>
  <c r="B514"/>
  <c r="J513"/>
  <c r="E513"/>
  <c r="D513"/>
  <c r="C513"/>
  <c r="B513"/>
  <c r="J512"/>
  <c r="E512"/>
  <c r="D512"/>
  <c r="C512"/>
  <c r="B512"/>
  <c r="J511"/>
  <c r="E511"/>
  <c r="D511"/>
  <c r="C511"/>
  <c r="B511"/>
  <c r="J510"/>
  <c r="E510"/>
  <c r="D510"/>
  <c r="C510"/>
  <c r="B510"/>
  <c r="J509"/>
  <c r="E509"/>
  <c r="D509"/>
  <c r="C509"/>
  <c r="B509"/>
  <c r="J508"/>
  <c r="E508"/>
  <c r="D508"/>
  <c r="C508"/>
  <c r="B508"/>
  <c r="J507"/>
  <c r="E507"/>
  <c r="D507"/>
  <c r="C507"/>
  <c r="B507"/>
  <c r="J506"/>
  <c r="E506"/>
  <c r="D506"/>
  <c r="C506"/>
  <c r="B506"/>
  <c r="J505"/>
  <c r="E505"/>
  <c r="D505"/>
  <c r="C505"/>
  <c r="B505"/>
  <c r="J504"/>
  <c r="E504"/>
  <c r="D504"/>
  <c r="C504"/>
  <c r="B504"/>
  <c r="J503"/>
  <c r="E503"/>
  <c r="D503"/>
  <c r="C503"/>
  <c r="B503"/>
  <c r="J502"/>
  <c r="E502"/>
  <c r="D502"/>
  <c r="C502"/>
  <c r="B502"/>
  <c r="J501"/>
  <c r="E501"/>
  <c r="D501"/>
  <c r="C501"/>
  <c r="B501"/>
  <c r="J500"/>
  <c r="E500"/>
  <c r="D500"/>
  <c r="C500"/>
  <c r="B500"/>
  <c r="J499"/>
  <c r="E499"/>
  <c r="D499"/>
  <c r="C499"/>
  <c r="B499"/>
  <c r="J498"/>
  <c r="E498"/>
  <c r="D498"/>
  <c r="C498"/>
  <c r="B498"/>
  <c r="J497"/>
  <c r="E497"/>
  <c r="D497"/>
  <c r="C497"/>
  <c r="B497"/>
  <c r="J496"/>
  <c r="E496"/>
  <c r="D496"/>
  <c r="C496"/>
  <c r="B496"/>
  <c r="J495"/>
  <c r="E495"/>
  <c r="D495"/>
  <c r="C495"/>
  <c r="B495"/>
  <c r="J494"/>
  <c r="E494"/>
  <c r="D494"/>
  <c r="C494"/>
  <c r="B494"/>
  <c r="J493"/>
  <c r="E493"/>
  <c r="D493"/>
  <c r="C493"/>
  <c r="B493"/>
  <c r="J492"/>
  <c r="E492"/>
  <c r="D492"/>
  <c r="C492"/>
  <c r="B492"/>
  <c r="J491"/>
  <c r="E491"/>
  <c r="D491"/>
  <c r="C491"/>
  <c r="B491"/>
  <c r="J490"/>
  <c r="E490"/>
  <c r="D490"/>
  <c r="C490"/>
  <c r="B490"/>
  <c r="J489"/>
  <c r="E489"/>
  <c r="D489"/>
  <c r="C489"/>
  <c r="B489"/>
  <c r="J488"/>
  <c r="E488"/>
  <c r="D488"/>
  <c r="C488"/>
  <c r="B488"/>
  <c r="J487"/>
  <c r="E487"/>
  <c r="D487"/>
  <c r="C487"/>
  <c r="B487"/>
  <c r="J486"/>
  <c r="E486"/>
  <c r="D486"/>
  <c r="C486"/>
  <c r="B486"/>
  <c r="J485"/>
  <c r="E485"/>
  <c r="D485"/>
  <c r="C485"/>
  <c r="B485"/>
  <c r="J484"/>
  <c r="E484"/>
  <c r="D484"/>
  <c r="C484"/>
  <c r="B484"/>
  <c r="J483"/>
  <c r="E483"/>
  <c r="D483"/>
  <c r="C483"/>
  <c r="B483"/>
  <c r="J482"/>
  <c r="E482"/>
  <c r="D482"/>
  <c r="C482"/>
  <c r="B482"/>
  <c r="J481"/>
  <c r="E481"/>
  <c r="D481"/>
  <c r="C481"/>
  <c r="B481"/>
  <c r="J480"/>
  <c r="E480"/>
  <c r="D480"/>
  <c r="C480"/>
  <c r="B480"/>
  <c r="J479"/>
  <c r="E479"/>
  <c r="D479"/>
  <c r="C479"/>
  <c r="B479"/>
  <c r="J478"/>
  <c r="E478"/>
  <c r="D478"/>
  <c r="C478"/>
  <c r="B478"/>
  <c r="J477"/>
  <c r="E477"/>
  <c r="D477"/>
  <c r="C477"/>
  <c r="B477"/>
  <c r="J476"/>
  <c r="E476"/>
  <c r="D476"/>
  <c r="C476"/>
  <c r="B476"/>
  <c r="J475"/>
  <c r="E475"/>
  <c r="D475"/>
  <c r="C475"/>
  <c r="B475"/>
  <c r="J474"/>
  <c r="E474"/>
  <c r="D474"/>
  <c r="C474"/>
  <c r="B474"/>
  <c r="J473"/>
  <c r="E473"/>
  <c r="D473"/>
  <c r="C473"/>
  <c r="B473"/>
  <c r="J472"/>
  <c r="E472"/>
  <c r="D472"/>
  <c r="C472"/>
  <c r="B472"/>
  <c r="J471"/>
  <c r="E471"/>
  <c r="D471"/>
  <c r="C471"/>
  <c r="B471"/>
  <c r="J470"/>
  <c r="E470"/>
  <c r="D470"/>
  <c r="C470"/>
  <c r="B470"/>
  <c r="J469"/>
  <c r="E469"/>
  <c r="D469"/>
  <c r="C469"/>
  <c r="B469"/>
  <c r="J468"/>
  <c r="E468"/>
  <c r="D468"/>
  <c r="C468"/>
  <c r="B468"/>
  <c r="J467"/>
  <c r="E467"/>
  <c r="D467"/>
  <c r="C467"/>
  <c r="B467"/>
  <c r="J466"/>
  <c r="E466"/>
  <c r="D466"/>
  <c r="C466"/>
  <c r="B466"/>
  <c r="J465"/>
  <c r="E465"/>
  <c r="D465"/>
  <c r="C465"/>
  <c r="B465"/>
  <c r="J464"/>
  <c r="E464"/>
  <c r="D464"/>
  <c r="C464"/>
  <c r="B464"/>
  <c r="J463"/>
  <c r="E463"/>
  <c r="D463"/>
  <c r="C463"/>
  <c r="B463"/>
  <c r="J462"/>
  <c r="E462"/>
  <c r="D462"/>
  <c r="C462"/>
  <c r="B462"/>
  <c r="J461"/>
  <c r="E461"/>
  <c r="D461"/>
  <c r="C461"/>
  <c r="B461"/>
  <c r="J460"/>
  <c r="E460"/>
  <c r="D460"/>
  <c r="C460"/>
  <c r="B460"/>
  <c r="J459"/>
  <c r="E459"/>
  <c r="D459"/>
  <c r="C459"/>
  <c r="B459"/>
  <c r="J458"/>
  <c r="E458"/>
  <c r="D458"/>
  <c r="C458"/>
  <c r="B458"/>
  <c r="J457"/>
  <c r="E457"/>
  <c r="D457"/>
  <c r="C457"/>
  <c r="B457"/>
  <c r="J456"/>
  <c r="E456"/>
  <c r="D456"/>
  <c r="C456"/>
  <c r="B456"/>
  <c r="J455"/>
  <c r="E455"/>
  <c r="D455"/>
  <c r="C455"/>
  <c r="B455"/>
  <c r="J454"/>
  <c r="E454"/>
  <c r="D454"/>
  <c r="C454"/>
  <c r="B454"/>
  <c r="J453"/>
  <c r="E453"/>
  <c r="D453"/>
  <c r="C453"/>
  <c r="B453"/>
  <c r="J452"/>
  <c r="E452"/>
  <c r="D452"/>
  <c r="C452"/>
  <c r="B452"/>
  <c r="J451"/>
  <c r="E451"/>
  <c r="D451"/>
  <c r="C451"/>
  <c r="B451"/>
  <c r="J450"/>
  <c r="E450"/>
  <c r="D450"/>
  <c r="C450"/>
  <c r="B450"/>
  <c r="J449"/>
  <c r="E449"/>
  <c r="D449"/>
  <c r="C449"/>
  <c r="B449"/>
  <c r="J448"/>
  <c r="E448"/>
  <c r="D448"/>
  <c r="C448"/>
  <c r="B448"/>
  <c r="J447"/>
  <c r="E447"/>
  <c r="D447"/>
  <c r="C447"/>
  <c r="B447"/>
  <c r="J446"/>
  <c r="E446"/>
  <c r="D446"/>
  <c r="C446"/>
  <c r="B446"/>
  <c r="J445"/>
  <c r="E445"/>
  <c r="D445"/>
  <c r="C445"/>
  <c r="B445"/>
  <c r="J444"/>
  <c r="E444"/>
  <c r="D444"/>
  <c r="C444"/>
  <c r="B444"/>
  <c r="J443"/>
  <c r="E443"/>
  <c r="D443"/>
  <c r="C443"/>
  <c r="B443"/>
  <c r="J442"/>
  <c r="E442"/>
  <c r="D442"/>
  <c r="C442"/>
  <c r="B442"/>
  <c r="J441"/>
  <c r="E441"/>
  <c r="D441"/>
  <c r="C441"/>
  <c r="B441"/>
  <c r="J440"/>
  <c r="E440"/>
  <c r="D440"/>
  <c r="C440"/>
  <c r="B440"/>
  <c r="J439"/>
  <c r="E439"/>
  <c r="D439"/>
  <c r="C439"/>
  <c r="B439"/>
  <c r="J438"/>
  <c r="E438"/>
  <c r="D438"/>
  <c r="C438"/>
  <c r="B438"/>
  <c r="J437"/>
  <c r="E437"/>
  <c r="D437"/>
  <c r="C437"/>
  <c r="B437"/>
  <c r="J436"/>
  <c r="E436"/>
  <c r="D436"/>
  <c r="C436"/>
  <c r="B436"/>
  <c r="J435"/>
  <c r="E435"/>
  <c r="D435"/>
  <c r="C435"/>
  <c r="B435"/>
  <c r="J434"/>
  <c r="E434"/>
  <c r="D434"/>
  <c r="C434"/>
  <c r="B434"/>
  <c r="J433"/>
  <c r="E433"/>
  <c r="D433"/>
  <c r="C433"/>
  <c r="B433"/>
  <c r="J432"/>
  <c r="E432"/>
  <c r="D432"/>
  <c r="C432"/>
  <c r="B432"/>
  <c r="J431"/>
  <c r="E431"/>
  <c r="D431"/>
  <c r="C431"/>
  <c r="B431"/>
  <c r="J430"/>
  <c r="E430"/>
  <c r="D430"/>
  <c r="C430"/>
  <c r="B430"/>
  <c r="J429"/>
  <c r="E429"/>
  <c r="D429"/>
  <c r="C429"/>
  <c r="B429"/>
  <c r="J428"/>
  <c r="E428"/>
  <c r="D428"/>
  <c r="C428"/>
  <c r="B428"/>
  <c r="J427"/>
  <c r="E427"/>
  <c r="D427"/>
  <c r="C427"/>
  <c r="B427"/>
  <c r="J426"/>
  <c r="E426"/>
  <c r="D426"/>
  <c r="C426"/>
  <c r="B426"/>
  <c r="J425"/>
  <c r="E425"/>
  <c r="D425"/>
  <c r="C425"/>
  <c r="B425"/>
  <c r="J424"/>
  <c r="E424"/>
  <c r="D424"/>
  <c r="C424"/>
  <c r="B424"/>
  <c r="J423"/>
  <c r="E423"/>
  <c r="D423"/>
  <c r="C423"/>
  <c r="B423"/>
  <c r="J422"/>
  <c r="E422"/>
  <c r="D422"/>
  <c r="C422"/>
  <c r="B422"/>
  <c r="J421"/>
  <c r="E421"/>
  <c r="D421"/>
  <c r="C421"/>
  <c r="B421"/>
  <c r="J420"/>
  <c r="E420"/>
  <c r="D420"/>
  <c r="C420"/>
  <c r="B420"/>
  <c r="J419"/>
  <c r="E419"/>
  <c r="D419"/>
  <c r="C419"/>
  <c r="B419"/>
  <c r="J418"/>
  <c r="E418"/>
  <c r="D418"/>
  <c r="C418"/>
  <c r="B418"/>
  <c r="J417"/>
  <c r="E417"/>
  <c r="D417"/>
  <c r="C417"/>
  <c r="B417"/>
  <c r="J416"/>
  <c r="E416"/>
  <c r="D416"/>
  <c r="C416"/>
  <c r="B416"/>
  <c r="J415"/>
  <c r="E415"/>
  <c r="D415"/>
  <c r="C415"/>
  <c r="B415"/>
  <c r="J414"/>
  <c r="E414"/>
  <c r="D414"/>
  <c r="C414"/>
  <c r="B414"/>
  <c r="J413"/>
  <c r="E413"/>
  <c r="D413"/>
  <c r="C413"/>
  <c r="B413"/>
  <c r="J412"/>
  <c r="E412"/>
  <c r="D412"/>
  <c r="C412"/>
  <c r="B412"/>
  <c r="J411"/>
  <c r="E411"/>
  <c r="D411"/>
  <c r="C411"/>
  <c r="B411"/>
  <c r="J410"/>
  <c r="E410"/>
  <c r="D410"/>
  <c r="C410"/>
  <c r="B410"/>
  <c r="J409"/>
  <c r="E409"/>
  <c r="D409"/>
  <c r="C409"/>
  <c r="B409"/>
  <c r="J408"/>
  <c r="E408"/>
  <c r="D408"/>
  <c r="C408"/>
  <c r="B408"/>
  <c r="J407"/>
  <c r="E407"/>
  <c r="D407"/>
  <c r="C407"/>
  <c r="B407"/>
  <c r="J406"/>
  <c r="E406"/>
  <c r="D406"/>
  <c r="C406"/>
  <c r="B406"/>
  <c r="J405"/>
  <c r="E405"/>
  <c r="D405"/>
  <c r="C405"/>
  <c r="B405"/>
  <c r="J404"/>
  <c r="E404"/>
  <c r="D404"/>
  <c r="C404"/>
  <c r="B404"/>
  <c r="J403"/>
  <c r="E403"/>
  <c r="D403"/>
  <c r="C403"/>
  <c r="B403"/>
  <c r="J402"/>
  <c r="E402"/>
  <c r="D402"/>
  <c r="C402"/>
  <c r="B402"/>
  <c r="J401"/>
  <c r="E401"/>
  <c r="D401"/>
  <c r="C401"/>
  <c r="B401"/>
  <c r="J400"/>
  <c r="E400"/>
  <c r="D400"/>
  <c r="C400"/>
  <c r="B400"/>
  <c r="J399"/>
  <c r="E399"/>
  <c r="D399"/>
  <c r="C399"/>
  <c r="B399"/>
  <c r="J398"/>
  <c r="E398"/>
  <c r="D398"/>
  <c r="C398"/>
  <c r="B398"/>
  <c r="J397"/>
  <c r="E397"/>
  <c r="D397"/>
  <c r="C397"/>
  <c r="B397"/>
  <c r="J396"/>
  <c r="E396"/>
  <c r="D396"/>
  <c r="C396"/>
  <c r="B396"/>
  <c r="J395"/>
  <c r="E395"/>
  <c r="D395"/>
  <c r="C395"/>
  <c r="B395"/>
  <c r="J394"/>
  <c r="E394"/>
  <c r="D394"/>
  <c r="C394"/>
  <c r="B394"/>
  <c r="J393"/>
  <c r="E393"/>
  <c r="D393"/>
  <c r="C393"/>
  <c r="B393"/>
  <c r="J392"/>
  <c r="E392"/>
  <c r="D392"/>
  <c r="C392"/>
  <c r="B392"/>
  <c r="J391"/>
  <c r="E391"/>
  <c r="D391"/>
  <c r="C391"/>
  <c r="B391"/>
  <c r="J390"/>
  <c r="E390"/>
  <c r="D390"/>
  <c r="C390"/>
  <c r="B390"/>
  <c r="J389"/>
  <c r="E389"/>
  <c r="D389"/>
  <c r="C389"/>
  <c r="B389"/>
  <c r="J388"/>
  <c r="E388"/>
  <c r="D388"/>
  <c r="C388"/>
  <c r="B388"/>
  <c r="J387"/>
  <c r="E387"/>
  <c r="D387"/>
  <c r="C387"/>
  <c r="B387"/>
  <c r="J386"/>
  <c r="E386"/>
  <c r="D386"/>
  <c r="C386"/>
  <c r="B386"/>
  <c r="J385"/>
  <c r="E385"/>
  <c r="D385"/>
  <c r="C385"/>
  <c r="B385"/>
  <c r="J384"/>
  <c r="E384"/>
  <c r="D384"/>
  <c r="C384"/>
  <c r="B384"/>
  <c r="J383"/>
  <c r="E383"/>
  <c r="D383"/>
  <c r="C383"/>
  <c r="B383"/>
  <c r="J382"/>
  <c r="E382"/>
  <c r="D382"/>
  <c r="C382"/>
  <c r="B382"/>
  <c r="J381"/>
  <c r="E381"/>
  <c r="D381"/>
  <c r="C381"/>
  <c r="B381"/>
  <c r="J380"/>
  <c r="E380"/>
  <c r="D380"/>
  <c r="C380"/>
  <c r="B380"/>
  <c r="J379"/>
  <c r="E379"/>
  <c r="D379"/>
  <c r="C379"/>
  <c r="B379"/>
  <c r="J378"/>
  <c r="E378"/>
  <c r="D378"/>
  <c r="C378"/>
  <c r="B378"/>
  <c r="J377"/>
  <c r="E377"/>
  <c r="D377"/>
  <c r="C377"/>
  <c r="B377"/>
  <c r="J376"/>
  <c r="E376"/>
  <c r="D376"/>
  <c r="C376"/>
  <c r="B376"/>
  <c r="J375"/>
  <c r="E375"/>
  <c r="D375"/>
  <c r="C375"/>
  <c r="B375"/>
  <c r="J374"/>
  <c r="E374"/>
  <c r="D374"/>
  <c r="C374"/>
  <c r="B374"/>
  <c r="J373"/>
  <c r="E373"/>
  <c r="D373"/>
  <c r="C373"/>
  <c r="B373"/>
  <c r="J372"/>
  <c r="E372"/>
  <c r="D372"/>
  <c r="C372"/>
  <c r="B372"/>
  <c r="J371"/>
  <c r="E371"/>
  <c r="D371"/>
  <c r="C371"/>
  <c r="B371"/>
  <c r="J370"/>
  <c r="E370"/>
  <c r="D370"/>
  <c r="C370"/>
  <c r="B370"/>
  <c r="J369"/>
  <c r="E369"/>
  <c r="D369"/>
  <c r="C369"/>
  <c r="B369"/>
  <c r="J368"/>
  <c r="E368"/>
  <c r="D368"/>
  <c r="C368"/>
  <c r="B368"/>
  <c r="J367"/>
  <c r="E367"/>
  <c r="D367"/>
  <c r="C367"/>
  <c r="B367"/>
  <c r="J366"/>
  <c r="E366"/>
  <c r="D366"/>
  <c r="C366"/>
  <c r="B366"/>
  <c r="J365"/>
  <c r="E365"/>
  <c r="D365"/>
  <c r="C365"/>
  <c r="B365"/>
  <c r="J364"/>
  <c r="E364"/>
  <c r="D364"/>
  <c r="C364"/>
  <c r="B364"/>
  <c r="J363"/>
  <c r="E363"/>
  <c r="D363"/>
  <c r="C363"/>
  <c r="B363"/>
  <c r="J362"/>
  <c r="E362"/>
  <c r="D362"/>
  <c r="C362"/>
  <c r="B362"/>
  <c r="J361"/>
  <c r="E361"/>
  <c r="D361"/>
  <c r="C361"/>
  <c r="B361"/>
  <c r="J360"/>
  <c r="E360"/>
  <c r="D360"/>
  <c r="C360"/>
  <c r="B360"/>
  <c r="J359"/>
  <c r="E359"/>
  <c r="D359"/>
  <c r="C359"/>
  <c r="B359"/>
  <c r="J358"/>
  <c r="E358"/>
  <c r="D358"/>
  <c r="C358"/>
  <c r="B358"/>
  <c r="J357"/>
  <c r="E357"/>
  <c r="D357"/>
  <c r="C357"/>
  <c r="B357"/>
  <c r="J356"/>
  <c r="E356"/>
  <c r="D356"/>
  <c r="C356"/>
  <c r="B356"/>
  <c r="J355"/>
  <c r="E355"/>
  <c r="D355"/>
  <c r="C355"/>
  <c r="B355"/>
  <c r="J354"/>
  <c r="E354"/>
  <c r="D354"/>
  <c r="C354"/>
  <c r="B354"/>
  <c r="J353"/>
  <c r="E353"/>
  <c r="D353"/>
  <c r="C353"/>
  <c r="B353"/>
  <c r="J352"/>
  <c r="E352"/>
  <c r="D352"/>
  <c r="C352"/>
  <c r="B352"/>
  <c r="J351"/>
  <c r="E351"/>
  <c r="D351"/>
  <c r="C351"/>
  <c r="B351"/>
  <c r="J350"/>
  <c r="E350"/>
  <c r="D350"/>
  <c r="C350"/>
  <c r="B350"/>
  <c r="J349"/>
  <c r="E349"/>
  <c r="D349"/>
  <c r="C349"/>
  <c r="B349"/>
  <c r="J348"/>
  <c r="E348"/>
  <c r="D348"/>
  <c r="C348"/>
  <c r="B348"/>
  <c r="J347"/>
  <c r="E347"/>
  <c r="D347"/>
  <c r="C347"/>
  <c r="B347"/>
  <c r="J346"/>
  <c r="E346"/>
  <c r="D346"/>
  <c r="C346"/>
  <c r="B346"/>
  <c r="J345"/>
  <c r="E345"/>
  <c r="D345"/>
  <c r="C345"/>
  <c r="B345"/>
  <c r="J344"/>
  <c r="E344"/>
  <c r="D344"/>
  <c r="C344"/>
  <c r="B344"/>
  <c r="J343"/>
  <c r="E343"/>
  <c r="D343"/>
  <c r="C343"/>
  <c r="B343"/>
  <c r="J342"/>
  <c r="E342"/>
  <c r="D342"/>
  <c r="C342"/>
  <c r="B342"/>
  <c r="J341"/>
  <c r="E341"/>
  <c r="D341"/>
  <c r="C341"/>
  <c r="B341"/>
  <c r="J340"/>
  <c r="E340"/>
  <c r="D340"/>
  <c r="C340"/>
  <c r="B340"/>
  <c r="J339"/>
  <c r="E339"/>
  <c r="D339"/>
  <c r="C339"/>
  <c r="B339"/>
  <c r="J338"/>
  <c r="E338"/>
  <c r="D338"/>
  <c r="C338"/>
  <c r="B338"/>
  <c r="J337"/>
  <c r="E337"/>
  <c r="D337"/>
  <c r="C337"/>
  <c r="B337"/>
  <c r="J336"/>
  <c r="E336"/>
  <c r="D336"/>
  <c r="C336"/>
  <c r="B336"/>
  <c r="J335"/>
  <c r="E335"/>
  <c r="D335"/>
  <c r="C335"/>
  <c r="B335"/>
  <c r="J334"/>
  <c r="E334"/>
  <c r="D334"/>
  <c r="C334"/>
  <c r="B334"/>
  <c r="J333"/>
  <c r="E333"/>
  <c r="D333"/>
  <c r="C333"/>
  <c r="B333"/>
  <c r="J332"/>
  <c r="E332"/>
  <c r="D332"/>
  <c r="C332"/>
  <c r="B332"/>
  <c r="J331"/>
  <c r="E331"/>
  <c r="D331"/>
  <c r="C331"/>
  <c r="B331"/>
  <c r="J330"/>
  <c r="E330"/>
  <c r="D330"/>
  <c r="C330"/>
  <c r="B330"/>
  <c r="J329"/>
  <c r="E329"/>
  <c r="D329"/>
  <c r="C329"/>
  <c r="B329"/>
  <c r="J328"/>
  <c r="E328"/>
  <c r="D328"/>
  <c r="C328"/>
  <c r="B328"/>
  <c r="J327"/>
  <c r="E327"/>
  <c r="D327"/>
  <c r="C327"/>
  <c r="B327"/>
  <c r="J326"/>
  <c r="E326"/>
  <c r="D326"/>
  <c r="C326"/>
  <c r="B326"/>
  <c r="J325"/>
  <c r="E325"/>
  <c r="D325"/>
  <c r="C325"/>
  <c r="B325"/>
  <c r="J324"/>
  <c r="E324"/>
  <c r="D324"/>
  <c r="C324"/>
  <c r="B324"/>
  <c r="J323"/>
  <c r="E323"/>
  <c r="D323"/>
  <c r="C323"/>
  <c r="B323"/>
  <c r="J322"/>
  <c r="E322"/>
  <c r="D322"/>
  <c r="C322"/>
  <c r="B322"/>
  <c r="J321"/>
  <c r="E321"/>
  <c r="D321"/>
  <c r="C321"/>
  <c r="B321"/>
  <c r="J320"/>
  <c r="E320"/>
  <c r="D320"/>
  <c r="C320"/>
  <c r="B320"/>
  <c r="J319"/>
  <c r="E319"/>
  <c r="D319"/>
  <c r="C319"/>
  <c r="B319"/>
  <c r="J318"/>
  <c r="E318"/>
  <c r="D318"/>
  <c r="C318"/>
  <c r="B318"/>
  <c r="J317"/>
  <c r="E317"/>
  <c r="D317"/>
  <c r="C317"/>
  <c r="B317"/>
  <c r="J316"/>
  <c r="E316"/>
  <c r="D316"/>
  <c r="C316"/>
  <c r="B316"/>
  <c r="J315"/>
  <c r="E315"/>
  <c r="D315"/>
  <c r="C315"/>
  <c r="B315"/>
  <c r="J314"/>
  <c r="E314"/>
  <c r="D314"/>
  <c r="C314"/>
  <c r="B314"/>
  <c r="J313"/>
  <c r="E313"/>
  <c r="D313"/>
  <c r="C313"/>
  <c r="B313"/>
  <c r="J312"/>
  <c r="E312"/>
  <c r="D312"/>
  <c r="C312"/>
  <c r="B312"/>
  <c r="J311"/>
  <c r="E311"/>
  <c r="D311"/>
  <c r="C311"/>
  <c r="B311"/>
  <c r="J310"/>
  <c r="E310"/>
  <c r="D310"/>
  <c r="C310"/>
  <c r="B310"/>
  <c r="J309"/>
  <c r="E309"/>
  <c r="D309"/>
  <c r="C309"/>
  <c r="B309"/>
  <c r="J308"/>
  <c r="E308"/>
  <c r="D308"/>
  <c r="C308"/>
  <c r="B308"/>
  <c r="J307"/>
  <c r="E307"/>
  <c r="D307"/>
  <c r="C307"/>
  <c r="B307"/>
  <c r="J306"/>
  <c r="E306"/>
  <c r="D306"/>
  <c r="C306"/>
  <c r="B306"/>
  <c r="J305"/>
  <c r="E305"/>
  <c r="D305"/>
  <c r="C305"/>
  <c r="B305"/>
  <c r="J304"/>
  <c r="E304"/>
  <c r="D304"/>
  <c r="C304"/>
  <c r="B304"/>
  <c r="J303"/>
  <c r="E303"/>
  <c r="D303"/>
  <c r="C303"/>
  <c r="B303"/>
  <c r="J302"/>
  <c r="E302"/>
  <c r="D302"/>
  <c r="C302"/>
  <c r="B302"/>
  <c r="J301"/>
  <c r="E301"/>
  <c r="D301"/>
  <c r="C301"/>
  <c r="B301"/>
  <c r="J300"/>
  <c r="E300"/>
  <c r="D300"/>
  <c r="C300"/>
  <c r="B300"/>
  <c r="J299"/>
  <c r="E299"/>
  <c r="D299"/>
  <c r="C299"/>
  <c r="B299"/>
  <c r="J298"/>
  <c r="E298"/>
  <c r="D298"/>
  <c r="C298"/>
  <c r="B298"/>
  <c r="J297"/>
  <c r="E297"/>
  <c r="D297"/>
  <c r="C297"/>
  <c r="B297"/>
  <c r="J296"/>
  <c r="E296"/>
  <c r="D296"/>
  <c r="C296"/>
  <c r="B296"/>
  <c r="J295"/>
  <c r="E295"/>
  <c r="D295"/>
  <c r="C295"/>
  <c r="B295"/>
  <c r="J294"/>
  <c r="E294"/>
  <c r="D294"/>
  <c r="C294"/>
  <c r="B294"/>
  <c r="J293"/>
  <c r="E293"/>
  <c r="D293"/>
  <c r="C293"/>
  <c r="B293"/>
  <c r="J292"/>
  <c r="E292"/>
  <c r="D292"/>
  <c r="C292"/>
  <c r="B292"/>
  <c r="J291"/>
  <c r="E291"/>
  <c r="D291"/>
  <c r="C291"/>
  <c r="B291"/>
  <c r="J290"/>
  <c r="E290"/>
  <c r="D290"/>
  <c r="C290"/>
  <c r="B290"/>
  <c r="J289"/>
  <c r="E289"/>
  <c r="D289"/>
  <c r="C289"/>
  <c r="B289"/>
  <c r="J288"/>
  <c r="E288"/>
  <c r="D288"/>
  <c r="C288"/>
  <c r="B288"/>
  <c r="J287"/>
  <c r="E287"/>
  <c r="D287"/>
  <c r="C287"/>
  <c r="B287"/>
  <c r="J286"/>
  <c r="E286"/>
  <c r="D286"/>
  <c r="C286"/>
  <c r="B286"/>
  <c r="J285"/>
  <c r="E285"/>
  <c r="D285"/>
  <c r="C285"/>
  <c r="B285"/>
  <c r="J284"/>
  <c r="E284"/>
  <c r="D284"/>
  <c r="C284"/>
  <c r="B284"/>
  <c r="J283"/>
  <c r="E283"/>
  <c r="D283"/>
  <c r="C283"/>
  <c r="B283"/>
  <c r="J282"/>
  <c r="E282"/>
  <c r="D282"/>
  <c r="C282"/>
  <c r="B282"/>
  <c r="J281"/>
  <c r="E281"/>
  <c r="D281"/>
  <c r="C281"/>
  <c r="B281"/>
  <c r="J280"/>
  <c r="E280"/>
  <c r="D280"/>
  <c r="C280"/>
  <c r="B280"/>
  <c r="J279"/>
  <c r="E279"/>
  <c r="D279"/>
  <c r="C279"/>
  <c r="B279"/>
  <c r="J278"/>
  <c r="E278"/>
  <c r="D278"/>
  <c r="C278"/>
  <c r="B278"/>
  <c r="J277"/>
  <c r="E277"/>
  <c r="D277"/>
  <c r="C277"/>
  <c r="B277"/>
  <c r="J276"/>
  <c r="E276"/>
  <c r="D276"/>
  <c r="C276"/>
  <c r="B276"/>
  <c r="J275"/>
  <c r="E275"/>
  <c r="D275"/>
  <c r="C275"/>
  <c r="B275"/>
  <c r="J274"/>
  <c r="E274"/>
  <c r="D274"/>
  <c r="C274"/>
  <c r="B274"/>
  <c r="J273"/>
  <c r="E273"/>
  <c r="D273"/>
  <c r="C273"/>
  <c r="B273"/>
  <c r="J272"/>
  <c r="E272"/>
  <c r="D272"/>
  <c r="C272"/>
  <c r="B272"/>
  <c r="J271"/>
  <c r="E271"/>
  <c r="D271"/>
  <c r="C271"/>
  <c r="B271"/>
  <c r="J270"/>
  <c r="E270"/>
  <c r="D270"/>
  <c r="C270"/>
  <c r="B270"/>
  <c r="J269"/>
  <c r="E269"/>
  <c r="D269"/>
  <c r="C269"/>
  <c r="B269"/>
  <c r="J268"/>
  <c r="E268"/>
  <c r="D268"/>
  <c r="C268"/>
  <c r="B268"/>
  <c r="J267"/>
  <c r="E267"/>
  <c r="D267"/>
  <c r="C267"/>
  <c r="B267"/>
  <c r="J266"/>
  <c r="E266"/>
  <c r="D266"/>
  <c r="C266"/>
  <c r="B266"/>
  <c r="J265"/>
  <c r="E265"/>
  <c r="D265"/>
  <c r="C265"/>
  <c r="B265"/>
  <c r="J264"/>
  <c r="E264"/>
  <c r="D264"/>
  <c r="C264"/>
  <c r="B264"/>
  <c r="J263"/>
  <c r="E263"/>
  <c r="D263"/>
  <c r="C263"/>
  <c r="B263"/>
  <c r="J262"/>
  <c r="E262"/>
  <c r="D262"/>
  <c r="C262"/>
  <c r="B262"/>
  <c r="J261"/>
  <c r="E261"/>
  <c r="D261"/>
  <c r="C261"/>
  <c r="B261"/>
  <c r="J260"/>
  <c r="E260"/>
  <c r="D260"/>
  <c r="C260"/>
  <c r="B260"/>
  <c r="J259"/>
  <c r="E259"/>
  <c r="D259"/>
  <c r="C259"/>
  <c r="B259"/>
  <c r="J258"/>
  <c r="E258"/>
  <c r="D258"/>
  <c r="C258"/>
  <c r="B258"/>
  <c r="J257"/>
  <c r="E257"/>
  <c r="D257"/>
  <c r="C257"/>
  <c r="B257"/>
  <c r="J256"/>
  <c r="E256"/>
  <c r="D256"/>
  <c r="C256"/>
  <c r="B256"/>
  <c r="J255"/>
  <c r="E255"/>
  <c r="D255"/>
  <c r="C255"/>
  <c r="B255"/>
  <c r="J254"/>
  <c r="E254"/>
  <c r="D254"/>
  <c r="C254"/>
  <c r="B254"/>
  <c r="J253"/>
  <c r="E253"/>
  <c r="D253"/>
  <c r="C253"/>
  <c r="B253"/>
  <c r="J252"/>
  <c r="E252"/>
  <c r="D252"/>
  <c r="C252"/>
  <c r="B252"/>
  <c r="J251"/>
  <c r="E251"/>
  <c r="D251"/>
  <c r="C251"/>
  <c r="B251"/>
  <c r="J250"/>
  <c r="E250"/>
  <c r="D250"/>
  <c r="C250"/>
  <c r="B250"/>
  <c r="J249"/>
  <c r="E249"/>
  <c r="D249"/>
  <c r="C249"/>
  <c r="B249"/>
  <c r="J248"/>
  <c r="E248"/>
  <c r="D248"/>
  <c r="C248"/>
  <c r="B248"/>
  <c r="J247"/>
  <c r="E247"/>
  <c r="D247"/>
  <c r="C247"/>
  <c r="B247"/>
  <c r="J246"/>
  <c r="E246"/>
  <c r="D246"/>
  <c r="C246"/>
  <c r="B246"/>
  <c r="J245"/>
  <c r="E245"/>
  <c r="D245"/>
  <c r="C245"/>
  <c r="B245"/>
  <c r="J244"/>
  <c r="E244"/>
  <c r="D244"/>
  <c r="C244"/>
  <c r="B244"/>
  <c r="J243"/>
  <c r="E243"/>
  <c r="D243"/>
  <c r="C243"/>
  <c r="B243"/>
  <c r="J242"/>
  <c r="E242"/>
  <c r="D242"/>
  <c r="C242"/>
  <c r="B242"/>
  <c r="J241"/>
  <c r="E241"/>
  <c r="D241"/>
  <c r="C241"/>
  <c r="B241"/>
  <c r="J240"/>
  <c r="E240"/>
  <c r="D240"/>
  <c r="C240"/>
  <c r="B240"/>
  <c r="J239"/>
  <c r="E239"/>
  <c r="D239"/>
  <c r="C239"/>
  <c r="B239"/>
  <c r="J238"/>
  <c r="E238"/>
  <c r="D238"/>
  <c r="C238"/>
  <c r="B238"/>
  <c r="J237"/>
  <c r="E237"/>
  <c r="D237"/>
  <c r="C237"/>
  <c r="B237"/>
  <c r="J236"/>
  <c r="E236"/>
  <c r="D236"/>
  <c r="C236"/>
  <c r="B236"/>
  <c r="J235"/>
  <c r="E235"/>
  <c r="D235"/>
  <c r="C235"/>
  <c r="B235"/>
  <c r="J234"/>
  <c r="E234"/>
  <c r="D234"/>
  <c r="C234"/>
  <c r="B234"/>
  <c r="J233"/>
  <c r="E233"/>
  <c r="D233"/>
  <c r="C233"/>
  <c r="B233"/>
  <c r="J232"/>
  <c r="E232"/>
  <c r="D232"/>
  <c r="C232"/>
  <c r="B232"/>
  <c r="J231"/>
  <c r="E231"/>
  <c r="D231"/>
  <c r="C231"/>
  <c r="B231"/>
  <c r="J230"/>
  <c r="E230"/>
  <c r="D230"/>
  <c r="C230"/>
  <c r="B230"/>
  <c r="J229"/>
  <c r="E229"/>
  <c r="D229"/>
  <c r="C229"/>
  <c r="B229"/>
  <c r="J228"/>
  <c r="E228"/>
  <c r="D228"/>
  <c r="C228"/>
  <c r="B228"/>
  <c r="J227"/>
  <c r="E227"/>
  <c r="D227"/>
  <c r="C227"/>
  <c r="B227"/>
  <c r="J226"/>
  <c r="E226"/>
  <c r="D226"/>
  <c r="C226"/>
  <c r="B226"/>
  <c r="J225"/>
  <c r="E225"/>
  <c r="D225"/>
  <c r="C225"/>
  <c r="B225"/>
  <c r="J224"/>
  <c r="E224"/>
  <c r="D224"/>
  <c r="C224"/>
  <c r="B224"/>
  <c r="J223"/>
  <c r="E223"/>
  <c r="D223"/>
  <c r="C223"/>
  <c r="B223"/>
  <c r="J222"/>
  <c r="E222"/>
  <c r="D222"/>
  <c r="C222"/>
  <c r="B222"/>
  <c r="J221"/>
  <c r="E221"/>
  <c r="D221"/>
  <c r="C221"/>
  <c r="B221"/>
  <c r="J220"/>
  <c r="E220"/>
  <c r="D220"/>
  <c r="C220"/>
  <c r="B220"/>
  <c r="J219"/>
  <c r="E219"/>
  <c r="D219"/>
  <c r="C219"/>
  <c r="B219"/>
  <c r="J218"/>
  <c r="E218"/>
  <c r="D218"/>
  <c r="C218"/>
  <c r="B218"/>
  <c r="J217"/>
  <c r="E217"/>
  <c r="D217"/>
  <c r="C217"/>
  <c r="B217"/>
  <c r="J216"/>
  <c r="E216"/>
  <c r="D216"/>
  <c r="C216"/>
  <c r="B216"/>
  <c r="J215"/>
  <c r="E215"/>
  <c r="D215"/>
  <c r="C215"/>
  <c r="B215"/>
  <c r="J214"/>
  <c r="E214"/>
  <c r="D214"/>
  <c r="C214"/>
  <c r="B214"/>
  <c r="J213"/>
  <c r="E213"/>
  <c r="D213"/>
  <c r="C213"/>
  <c r="B213"/>
  <c r="J212"/>
  <c r="E212"/>
  <c r="D212"/>
  <c r="C212"/>
  <c r="B212"/>
  <c r="J211"/>
  <c r="E211"/>
  <c r="D211"/>
  <c r="C211"/>
  <c r="B211"/>
  <c r="J210"/>
  <c r="E210"/>
  <c r="D210"/>
  <c r="C210"/>
  <c r="B210"/>
  <c r="J209"/>
  <c r="E209"/>
  <c r="D209"/>
  <c r="C209"/>
  <c r="B209"/>
  <c r="J208"/>
  <c r="E208"/>
  <c r="D208"/>
  <c r="C208"/>
  <c r="B208"/>
  <c r="J207"/>
  <c r="E207"/>
  <c r="D207"/>
  <c r="C207"/>
  <c r="B207"/>
  <c r="J206"/>
  <c r="E206"/>
  <c r="D206"/>
  <c r="C206"/>
  <c r="B206"/>
  <c r="J205"/>
  <c r="E205"/>
  <c r="D205"/>
  <c r="C205"/>
  <c r="B205"/>
  <c r="J204"/>
  <c r="E204"/>
  <c r="D204"/>
  <c r="C204"/>
  <c r="B204"/>
  <c r="J203"/>
  <c r="E203"/>
  <c r="D203"/>
  <c r="C203"/>
  <c r="B203"/>
  <c r="J202"/>
  <c r="E202"/>
  <c r="D202"/>
  <c r="C202"/>
  <c r="B202"/>
  <c r="J201"/>
  <c r="E201"/>
  <c r="D201"/>
  <c r="C201"/>
  <c r="B201"/>
  <c r="J200"/>
  <c r="E200"/>
  <c r="D200"/>
  <c r="C200"/>
  <c r="B200"/>
  <c r="J199"/>
  <c r="E199"/>
  <c r="D199"/>
  <c r="C199"/>
  <c r="B199"/>
  <c r="J198"/>
  <c r="E198"/>
  <c r="D198"/>
  <c r="C198"/>
  <c r="B198"/>
  <c r="J197"/>
  <c r="E197"/>
  <c r="D197"/>
  <c r="C197"/>
  <c r="B197"/>
  <c r="J196"/>
  <c r="E196"/>
  <c r="D196"/>
  <c r="C196"/>
  <c r="B196"/>
  <c r="J195"/>
  <c r="E195"/>
  <c r="D195"/>
  <c r="C195"/>
  <c r="B195"/>
  <c r="J194"/>
  <c r="E194"/>
  <c r="D194"/>
  <c r="C194"/>
  <c r="B194"/>
  <c r="J193"/>
  <c r="E193"/>
  <c r="D193"/>
  <c r="C193"/>
  <c r="B193"/>
  <c r="J192"/>
  <c r="E192"/>
  <c r="D192"/>
  <c r="C192"/>
  <c r="B192"/>
  <c r="J191"/>
  <c r="E191"/>
  <c r="D191"/>
  <c r="C191"/>
  <c r="B191"/>
  <c r="J190"/>
  <c r="E190"/>
  <c r="D190"/>
  <c r="C190"/>
  <c r="B190"/>
  <c r="J189"/>
  <c r="E189"/>
  <c r="D189"/>
  <c r="C189"/>
  <c r="B189"/>
  <c r="J188"/>
  <c r="E188"/>
  <c r="D188"/>
  <c r="C188"/>
  <c r="B188"/>
  <c r="J187"/>
  <c r="E187"/>
  <c r="D187"/>
  <c r="C187"/>
  <c r="B187"/>
  <c r="J186"/>
  <c r="E186"/>
  <c r="D186"/>
  <c r="C186"/>
  <c r="B186"/>
  <c r="J185"/>
  <c r="E185"/>
  <c r="D185"/>
  <c r="C185"/>
  <c r="B185"/>
  <c r="J184"/>
  <c r="E184"/>
  <c r="D184"/>
  <c r="C184"/>
  <c r="B184"/>
  <c r="J183"/>
  <c r="E183"/>
  <c r="D183"/>
  <c r="C183"/>
  <c r="B183"/>
  <c r="J182"/>
  <c r="E182"/>
  <c r="D182"/>
  <c r="C182"/>
  <c r="B182"/>
  <c r="J181"/>
  <c r="E181"/>
  <c r="D181"/>
  <c r="C181"/>
  <c r="B181"/>
  <c r="J180"/>
  <c r="E180"/>
  <c r="D180"/>
  <c r="C180"/>
  <c r="B180"/>
  <c r="J179"/>
  <c r="E179"/>
  <c r="D179"/>
  <c r="C179"/>
  <c r="B179"/>
  <c r="J178"/>
  <c r="E178"/>
  <c r="D178"/>
  <c r="C178"/>
  <c r="B178"/>
  <c r="J177"/>
  <c r="E177"/>
  <c r="D177"/>
  <c r="C177"/>
  <c r="B177"/>
  <c r="J176"/>
  <c r="E176"/>
  <c r="D176"/>
  <c r="C176"/>
  <c r="B176"/>
  <c r="J175"/>
  <c r="E175"/>
  <c r="D175"/>
  <c r="C175"/>
  <c r="B175"/>
  <c r="J174"/>
  <c r="E174"/>
  <c r="D174"/>
  <c r="C174"/>
  <c r="B174"/>
  <c r="J173"/>
  <c r="E173"/>
  <c r="D173"/>
  <c r="C173"/>
  <c r="B173"/>
  <c r="J172"/>
  <c r="E172"/>
  <c r="D172"/>
  <c r="C172"/>
  <c r="B172"/>
  <c r="J171"/>
  <c r="E171"/>
  <c r="D171"/>
  <c r="C171"/>
  <c r="B171"/>
  <c r="J170"/>
  <c r="E170"/>
  <c r="D170"/>
  <c r="C170"/>
  <c r="B170"/>
  <c r="J169"/>
  <c r="E169"/>
  <c r="D169"/>
  <c r="C169"/>
  <c r="B169"/>
  <c r="J168"/>
  <c r="E168"/>
  <c r="D168"/>
  <c r="C168"/>
  <c r="B168"/>
  <c r="J167"/>
  <c r="E167"/>
  <c r="D167"/>
  <c r="C167"/>
  <c r="B167"/>
  <c r="J166"/>
  <c r="E166"/>
  <c r="D166"/>
  <c r="C166"/>
  <c r="B166"/>
  <c r="J165"/>
  <c r="E165"/>
  <c r="D165"/>
  <c r="C165"/>
  <c r="B165"/>
  <c r="J164"/>
  <c r="E164"/>
  <c r="D164"/>
  <c r="C164"/>
  <c r="B164"/>
  <c r="J163"/>
  <c r="E163"/>
  <c r="D163"/>
  <c r="C163"/>
  <c r="B163"/>
  <c r="J162"/>
  <c r="E162"/>
  <c r="D162"/>
  <c r="C162"/>
  <c r="B162"/>
  <c r="J161"/>
  <c r="E161"/>
  <c r="D161"/>
  <c r="C161"/>
  <c r="B161"/>
  <c r="J160"/>
  <c r="E160"/>
  <c r="D160"/>
  <c r="C160"/>
  <c r="B160"/>
  <c r="J159"/>
  <c r="E159"/>
  <c r="D159"/>
  <c r="C159"/>
  <c r="B159"/>
  <c r="J158"/>
  <c r="E158"/>
  <c r="D158"/>
  <c r="C158"/>
  <c r="B158"/>
  <c r="J157"/>
  <c r="E157"/>
  <c r="D157"/>
  <c r="C157"/>
  <c r="B157"/>
  <c r="J156"/>
  <c r="E156"/>
  <c r="D156"/>
  <c r="C156"/>
  <c r="B156"/>
  <c r="J155"/>
  <c r="E155"/>
  <c r="D155"/>
  <c r="C155"/>
  <c r="B155"/>
  <c r="J154"/>
  <c r="E154"/>
  <c r="D154"/>
  <c r="C154"/>
  <c r="B154"/>
  <c r="J153"/>
  <c r="E153"/>
  <c r="D153"/>
  <c r="C153"/>
  <c r="B153"/>
  <c r="J152"/>
  <c r="E152"/>
  <c r="D152"/>
  <c r="C152"/>
  <c r="B152"/>
  <c r="J151"/>
  <c r="E151"/>
  <c r="D151"/>
  <c r="C151"/>
  <c r="B151"/>
  <c r="J150"/>
  <c r="E150"/>
  <c r="D150"/>
  <c r="C150"/>
  <c r="B150"/>
  <c r="J149"/>
  <c r="E149"/>
  <c r="D149"/>
  <c r="C149"/>
  <c r="B149"/>
  <c r="J148"/>
  <c r="E148"/>
  <c r="D148"/>
  <c r="C148"/>
  <c r="B148"/>
  <c r="J147"/>
  <c r="E147"/>
  <c r="D147"/>
  <c r="C147"/>
  <c r="B147"/>
  <c r="J146"/>
  <c r="E146"/>
  <c r="D146"/>
  <c r="C146"/>
  <c r="B146"/>
  <c r="J145"/>
  <c r="E145"/>
  <c r="D145"/>
  <c r="C145"/>
  <c r="B145"/>
  <c r="J144"/>
  <c r="E144"/>
  <c r="D144"/>
  <c r="C144"/>
  <c r="B144"/>
  <c r="J143"/>
  <c r="E143"/>
  <c r="D143"/>
  <c r="C143"/>
  <c r="B143"/>
  <c r="J142"/>
  <c r="E142"/>
  <c r="D142"/>
  <c r="C142"/>
  <c r="B142"/>
  <c r="J141"/>
  <c r="E141"/>
  <c r="D141"/>
  <c r="C141"/>
  <c r="B141"/>
  <c r="J140"/>
  <c r="E140"/>
  <c r="D140"/>
  <c r="C140"/>
  <c r="B140"/>
  <c r="J139"/>
  <c r="E139"/>
  <c r="D139"/>
  <c r="C139"/>
  <c r="B139"/>
  <c r="J138"/>
  <c r="E138"/>
  <c r="D138"/>
  <c r="C138"/>
  <c r="B138"/>
  <c r="J137"/>
  <c r="E137"/>
  <c r="D137"/>
  <c r="C137"/>
  <c r="B137"/>
  <c r="J136"/>
  <c r="E136"/>
  <c r="D136"/>
  <c r="C136"/>
  <c r="B136"/>
  <c r="J135"/>
  <c r="E135"/>
  <c r="D135"/>
  <c r="C135"/>
  <c r="B135"/>
  <c r="J134"/>
  <c r="E134"/>
  <c r="D134"/>
  <c r="C134"/>
  <c r="B134"/>
  <c r="J133"/>
  <c r="E133"/>
  <c r="D133"/>
  <c r="C133"/>
  <c r="B133"/>
  <c r="J132"/>
  <c r="E132"/>
  <c r="D132"/>
  <c r="C132"/>
  <c r="B132"/>
  <c r="J131"/>
  <c r="E131"/>
  <c r="D131"/>
  <c r="C131"/>
  <c r="B131"/>
  <c r="J130"/>
  <c r="E130"/>
  <c r="D130"/>
  <c r="C130"/>
  <c r="B130"/>
  <c r="J129"/>
  <c r="E129"/>
  <c r="D129"/>
  <c r="C129"/>
  <c r="B129"/>
  <c r="J128"/>
  <c r="E128"/>
  <c r="D128"/>
  <c r="C128"/>
  <c r="B128"/>
  <c r="J127"/>
  <c r="E127"/>
  <c r="D127"/>
  <c r="C127"/>
  <c r="B127"/>
  <c r="J126"/>
  <c r="E126"/>
  <c r="D126"/>
  <c r="C126"/>
  <c r="B126"/>
  <c r="J125"/>
  <c r="E125"/>
  <c r="D125"/>
  <c r="C125"/>
  <c r="B125"/>
  <c r="J124"/>
  <c r="E124"/>
  <c r="D124"/>
  <c r="C124"/>
  <c r="B124"/>
  <c r="J123"/>
  <c r="E123"/>
  <c r="D123"/>
  <c r="C123"/>
  <c r="B123"/>
  <c r="J122"/>
  <c r="E122"/>
  <c r="D122"/>
  <c r="C122"/>
  <c r="B122"/>
  <c r="J121"/>
  <c r="E121"/>
  <c r="D121"/>
  <c r="C121"/>
  <c r="B121"/>
  <c r="J120"/>
  <c r="E120"/>
  <c r="D120"/>
  <c r="C120"/>
  <c r="B120"/>
  <c r="J119"/>
  <c r="E119"/>
  <c r="D119"/>
  <c r="C119"/>
  <c r="B119"/>
  <c r="J118"/>
  <c r="E118"/>
  <c r="D118"/>
  <c r="C118"/>
  <c r="B118"/>
  <c r="J117"/>
  <c r="E117"/>
  <c r="D117"/>
  <c r="C117"/>
  <c r="B117"/>
  <c r="J116"/>
  <c r="E116"/>
  <c r="D116"/>
  <c r="C116"/>
  <c r="B116"/>
  <c r="J115"/>
  <c r="E115"/>
  <c r="D115"/>
  <c r="C115"/>
  <c r="B115"/>
  <c r="J114"/>
  <c r="E114"/>
  <c r="D114"/>
  <c r="C114"/>
  <c r="B114"/>
  <c r="J113"/>
  <c r="E113"/>
  <c r="D113"/>
  <c r="C113"/>
  <c r="B113"/>
  <c r="J112"/>
  <c r="E112"/>
  <c r="D112"/>
  <c r="C112"/>
  <c r="B112"/>
  <c r="J111"/>
  <c r="E111"/>
  <c r="D111"/>
  <c r="C111"/>
  <c r="B111"/>
  <c r="J110"/>
  <c r="E110"/>
  <c r="D110"/>
  <c r="C110"/>
  <c r="B110"/>
  <c r="J109"/>
  <c r="E109"/>
  <c r="D109"/>
  <c r="C109"/>
  <c r="B109"/>
  <c r="J108"/>
  <c r="E108"/>
  <c r="D108"/>
  <c r="C108"/>
  <c r="B108"/>
  <c r="J107"/>
  <c r="E107"/>
  <c r="D107"/>
  <c r="C107"/>
  <c r="B107"/>
  <c r="J106"/>
  <c r="E106"/>
  <c r="D106"/>
  <c r="C106"/>
  <c r="B106"/>
  <c r="J105"/>
  <c r="E105"/>
  <c r="D105"/>
  <c r="C105"/>
  <c r="B105"/>
  <c r="J104"/>
  <c r="E104"/>
  <c r="D104"/>
  <c r="C104"/>
  <c r="B104"/>
  <c r="J103"/>
  <c r="E103"/>
  <c r="D103"/>
  <c r="C103"/>
  <c r="B103"/>
  <c r="J102"/>
  <c r="E102"/>
  <c r="D102"/>
  <c r="C102"/>
  <c r="B102"/>
  <c r="J101"/>
  <c r="E101"/>
  <c r="D101"/>
  <c r="C101"/>
  <c r="B101"/>
  <c r="J100"/>
  <c r="E100"/>
  <c r="D100"/>
  <c r="C100"/>
  <c r="B100"/>
  <c r="J99"/>
  <c r="E99"/>
  <c r="D99"/>
  <c r="C99"/>
  <c r="B99"/>
  <c r="J98"/>
  <c r="E98"/>
  <c r="D98"/>
  <c r="C98"/>
  <c r="B98"/>
  <c r="J97"/>
  <c r="E97"/>
  <c r="D97"/>
  <c r="C97"/>
  <c r="B97"/>
  <c r="J96"/>
  <c r="E96"/>
  <c r="D96"/>
  <c r="C96"/>
  <c r="B96"/>
  <c r="J95"/>
  <c r="E95"/>
  <c r="D95"/>
  <c r="C95"/>
  <c r="B95"/>
  <c r="J94"/>
  <c r="E94"/>
  <c r="D94"/>
  <c r="C94"/>
  <c r="B94"/>
  <c r="J93"/>
  <c r="E93"/>
  <c r="D93"/>
  <c r="C93"/>
  <c r="B93"/>
  <c r="J92"/>
  <c r="E92"/>
  <c r="D92"/>
  <c r="C92"/>
  <c r="B92"/>
  <c r="J91"/>
  <c r="E91"/>
  <c r="D91"/>
  <c r="C91"/>
  <c r="B91"/>
  <c r="J90"/>
  <c r="E90"/>
  <c r="D90"/>
  <c r="C90"/>
  <c r="B90"/>
  <c r="J89"/>
  <c r="E89"/>
  <c r="D89"/>
  <c r="C89"/>
  <c r="B89"/>
  <c r="J88"/>
  <c r="E88"/>
  <c r="D88"/>
  <c r="C88"/>
  <c r="B88"/>
  <c r="J87"/>
  <c r="E87"/>
  <c r="D87"/>
  <c r="C87"/>
  <c r="B87"/>
  <c r="J86"/>
  <c r="E86"/>
  <c r="D86"/>
  <c r="C86"/>
  <c r="B86"/>
  <c r="J85"/>
  <c r="E85"/>
  <c r="D85"/>
  <c r="C85"/>
  <c r="B85"/>
  <c r="J84"/>
  <c r="E84"/>
  <c r="D84"/>
  <c r="C84"/>
  <c r="B84"/>
  <c r="J83"/>
  <c r="E83"/>
  <c r="D83"/>
  <c r="C83"/>
  <c r="B83"/>
  <c r="J82"/>
  <c r="E82"/>
  <c r="D82"/>
  <c r="C82"/>
  <c r="B82"/>
  <c r="J81"/>
  <c r="E81"/>
  <c r="D81"/>
  <c r="C81"/>
  <c r="B81"/>
  <c r="J80"/>
  <c r="E80"/>
  <c r="D80"/>
  <c r="C80"/>
  <c r="B80"/>
  <c r="J79"/>
  <c r="E79"/>
  <c r="D79"/>
  <c r="C79"/>
  <c r="B79"/>
  <c r="J78"/>
  <c r="E78"/>
  <c r="D78"/>
  <c r="C78"/>
  <c r="B78"/>
  <c r="J77"/>
  <c r="E77"/>
  <c r="D77"/>
  <c r="C77"/>
  <c r="B77"/>
  <c r="J76"/>
  <c r="E76"/>
  <c r="D76"/>
  <c r="C76"/>
  <c r="B76"/>
  <c r="J75"/>
  <c r="E75"/>
  <c r="D75"/>
  <c r="C75"/>
  <c r="B75"/>
  <c r="J74"/>
  <c r="E74"/>
  <c r="D74"/>
  <c r="C74"/>
  <c r="B74"/>
  <c r="J73"/>
  <c r="E73"/>
  <c r="D73"/>
  <c r="C73"/>
  <c r="B73"/>
  <c r="J72"/>
  <c r="E72"/>
  <c r="D72"/>
  <c r="C72"/>
  <c r="B72"/>
  <c r="J71"/>
  <c r="E71"/>
  <c r="D71"/>
  <c r="C71"/>
  <c r="B71"/>
  <c r="J70"/>
  <c r="E70"/>
  <c r="D70"/>
  <c r="C70"/>
  <c r="B70"/>
  <c r="J69"/>
  <c r="E69"/>
  <c r="D69"/>
  <c r="C69"/>
  <c r="B69"/>
  <c r="J68"/>
  <c r="E68"/>
  <c r="D68"/>
  <c r="C68"/>
  <c r="B68"/>
  <c r="J67"/>
  <c r="E67"/>
  <c r="D67"/>
  <c r="C67"/>
  <c r="B67"/>
  <c r="J66"/>
  <c r="E66"/>
  <c r="D66"/>
  <c r="C66"/>
  <c r="B66"/>
  <c r="J65"/>
  <c r="E65"/>
  <c r="D65"/>
  <c r="C65"/>
  <c r="B65"/>
  <c r="J64"/>
  <c r="E64"/>
  <c r="D64"/>
  <c r="C64"/>
  <c r="B64"/>
  <c r="J63"/>
  <c r="E63"/>
  <c r="D63"/>
  <c r="C63"/>
  <c r="B63"/>
  <c r="J62"/>
  <c r="E62"/>
  <c r="D62"/>
  <c r="C62"/>
  <c r="B62"/>
  <c r="J61"/>
  <c r="E61"/>
  <c r="D61"/>
  <c r="C61"/>
  <c r="B61"/>
  <c r="J60"/>
  <c r="E60"/>
  <c r="D60"/>
  <c r="C60"/>
  <c r="B60"/>
  <c r="J59"/>
  <c r="E59"/>
  <c r="D59"/>
  <c r="C59"/>
  <c r="B59"/>
  <c r="J58"/>
  <c r="E58"/>
  <c r="D58"/>
  <c r="C58"/>
  <c r="B58"/>
  <c r="J57"/>
  <c r="E57"/>
  <c r="D57"/>
  <c r="C57"/>
  <c r="B57"/>
  <c r="J56"/>
  <c r="E56"/>
  <c r="D56"/>
  <c r="C56"/>
  <c r="B56"/>
  <c r="J55"/>
  <c r="E55"/>
  <c r="D55"/>
  <c r="C55"/>
  <c r="B55"/>
  <c r="J54"/>
  <c r="E54"/>
  <c r="D54"/>
  <c r="C54"/>
  <c r="B54"/>
  <c r="J53"/>
  <c r="E53"/>
  <c r="D53"/>
  <c r="C53"/>
  <c r="B53"/>
  <c r="J52"/>
  <c r="E52"/>
  <c r="D52"/>
  <c r="C52"/>
  <c r="B52"/>
  <c r="J51"/>
  <c r="E51"/>
  <c r="D51"/>
  <c r="C51"/>
  <c r="B51"/>
  <c r="J50"/>
  <c r="E50"/>
  <c r="D50"/>
  <c r="C50"/>
  <c r="B50"/>
  <c r="J49"/>
  <c r="E49"/>
  <c r="D49"/>
  <c r="C49"/>
  <c r="B49"/>
  <c r="J48"/>
  <c r="E48"/>
  <c r="D48"/>
  <c r="C48"/>
  <c r="B48"/>
  <c r="J47"/>
  <c r="E47"/>
  <c r="D47"/>
  <c r="C47"/>
  <c r="B47"/>
  <c r="J46"/>
  <c r="E46"/>
  <c r="D46"/>
  <c r="C46"/>
  <c r="B46"/>
  <c r="J45"/>
  <c r="E45"/>
  <c r="D45"/>
  <c r="C45"/>
  <c r="B45"/>
  <c r="J44"/>
  <c r="E44"/>
  <c r="D44"/>
  <c r="C44"/>
  <c r="B44"/>
  <c r="J43"/>
  <c r="E43"/>
  <c r="D43"/>
  <c r="C43"/>
  <c r="B43"/>
  <c r="J42"/>
  <c r="E42"/>
  <c r="D42"/>
  <c r="C42"/>
  <c r="B42"/>
  <c r="J41"/>
  <c r="E41"/>
  <c r="D41"/>
  <c r="C41"/>
  <c r="B41"/>
  <c r="J40"/>
  <c r="E40"/>
  <c r="D40"/>
  <c r="C40"/>
  <c r="B40"/>
  <c r="J39"/>
  <c r="E39"/>
  <c r="D39"/>
  <c r="C39"/>
  <c r="B39"/>
  <c r="J38"/>
  <c r="E38"/>
  <c r="D38"/>
  <c r="C38"/>
  <c r="B38"/>
  <c r="J37"/>
  <c r="E37"/>
  <c r="D37"/>
  <c r="C37"/>
  <c r="B37"/>
  <c r="J36"/>
  <c r="E36"/>
  <c r="D36"/>
  <c r="C36"/>
  <c r="B36"/>
  <c r="J35"/>
  <c r="E35"/>
  <c r="D35"/>
  <c r="C35"/>
  <c r="B35"/>
  <c r="J34"/>
  <c r="E34"/>
  <c r="D34"/>
  <c r="C34"/>
  <c r="B34"/>
  <c r="J33"/>
  <c r="E33"/>
  <c r="D33"/>
  <c r="C33"/>
  <c r="B33"/>
  <c r="J32"/>
  <c r="E32"/>
  <c r="D32"/>
  <c r="C32"/>
  <c r="B32"/>
  <c r="J31"/>
  <c r="E31"/>
  <c r="D31"/>
  <c r="C31"/>
  <c r="B31"/>
  <c r="J30"/>
  <c r="E30"/>
  <c r="D30"/>
  <c r="C30"/>
  <c r="B30"/>
  <c r="J29"/>
  <c r="E29"/>
  <c r="D29"/>
  <c r="C29"/>
  <c r="B29"/>
  <c r="J28"/>
  <c r="E28"/>
  <c r="D28"/>
  <c r="C28"/>
  <c r="B28"/>
  <c r="J27"/>
  <c r="E27"/>
  <c r="D27"/>
  <c r="C27"/>
  <c r="B27"/>
  <c r="J26"/>
  <c r="E26"/>
  <c r="D26"/>
  <c r="C26"/>
  <c r="B26"/>
  <c r="J25"/>
  <c r="E25"/>
  <c r="D25"/>
  <c r="C25"/>
  <c r="B25"/>
  <c r="J24"/>
  <c r="E24"/>
  <c r="D24"/>
  <c r="C24"/>
  <c r="B24"/>
  <c r="J23"/>
  <c r="E23"/>
  <c r="D23"/>
  <c r="C23"/>
  <c r="B23"/>
  <c r="J22"/>
  <c r="E22"/>
  <c r="D22"/>
  <c r="C22"/>
  <c r="B22"/>
  <c r="J21"/>
  <c r="E21"/>
  <c r="D21"/>
  <c r="C21"/>
  <c r="B21"/>
  <c r="J20"/>
  <c r="E20"/>
  <c r="D20"/>
  <c r="C20"/>
  <c r="B20"/>
  <c r="J19"/>
  <c r="E19"/>
  <c r="D19"/>
  <c r="C19"/>
  <c r="B19"/>
  <c r="J18"/>
  <c r="E18"/>
  <c r="D18"/>
  <c r="C18"/>
  <c r="B18"/>
  <c r="J17"/>
  <c r="E17"/>
  <c r="D17"/>
  <c r="C17"/>
  <c r="B17"/>
  <c r="J16"/>
  <c r="E16"/>
  <c r="D16"/>
  <c r="C16"/>
  <c r="B16"/>
  <c r="J15"/>
  <c r="E15"/>
  <c r="D15"/>
  <c r="C15"/>
  <c r="B15"/>
  <c r="J14"/>
  <c r="E14"/>
  <c r="D14"/>
  <c r="C14"/>
  <c r="B14"/>
  <c r="J13"/>
  <c r="E13"/>
  <c r="D13"/>
  <c r="C13"/>
  <c r="B13"/>
  <c r="J12"/>
  <c r="E12"/>
  <c r="D12"/>
  <c r="C12"/>
  <c r="B12"/>
  <c r="J11"/>
  <c r="E11"/>
  <c r="D11"/>
  <c r="C11"/>
  <c r="B11"/>
  <c r="J10"/>
  <c r="E10"/>
  <c r="D10"/>
  <c r="C10"/>
  <c r="B10"/>
  <c r="J9"/>
  <c r="E9"/>
  <c r="D9"/>
  <c r="C9"/>
  <c r="B9"/>
  <c r="J8"/>
  <c r="E8"/>
  <c r="D8"/>
  <c r="C8"/>
  <c r="B8"/>
  <c r="J7"/>
  <c r="E7"/>
  <c r="D7"/>
  <c r="C7"/>
  <c r="B7"/>
  <c r="J6"/>
  <c r="E6"/>
  <c r="D6"/>
  <c r="C6"/>
  <c r="B6"/>
  <c r="J5"/>
  <c r="E5"/>
  <c r="D5"/>
  <c r="C5"/>
  <c r="B5"/>
  <c r="J4"/>
  <c r="E4"/>
  <c r="D4"/>
  <c r="C4"/>
  <c r="B4"/>
  <c r="J3"/>
  <c r="E3"/>
  <c r="D3"/>
  <c r="C3"/>
  <c r="B3"/>
</calcChain>
</file>

<file path=xl/sharedStrings.xml><?xml version="1.0" encoding="utf-8"?>
<sst xmlns="http://schemas.openxmlformats.org/spreadsheetml/2006/main" count="972" uniqueCount="33">
  <si>
    <t>鄂尔多斯市蒙医医院2019年公开招聘考试笔试人员名单</t>
    <phoneticPr fontId="3" type="noConversion"/>
  </si>
  <si>
    <t>报考岗位</t>
  </si>
  <si>
    <t>姓名</t>
  </si>
  <si>
    <t>性别</t>
  </si>
  <si>
    <t>民族</t>
  </si>
  <si>
    <t>准考证号</t>
  </si>
  <si>
    <t>考场号</t>
  </si>
  <si>
    <t>座位号</t>
  </si>
  <si>
    <t>笔试成绩</t>
    <phoneticPr fontId="3" type="noConversion"/>
  </si>
  <si>
    <t>少数民族加分</t>
    <phoneticPr fontId="3" type="noConversion"/>
  </si>
  <si>
    <t>笔试总成绩</t>
    <phoneticPr fontId="3" type="noConversion"/>
  </si>
  <si>
    <t>201_急诊科</t>
  </si>
  <si>
    <t>202_皮肤科</t>
  </si>
  <si>
    <t>203_外科</t>
  </si>
  <si>
    <t>204_心身医学科</t>
  </si>
  <si>
    <t>205_保健科</t>
  </si>
  <si>
    <t>206_康复科</t>
  </si>
  <si>
    <t>207_传统疗术科</t>
  </si>
  <si>
    <t>208_药房</t>
  </si>
  <si>
    <t>209_制剂</t>
  </si>
  <si>
    <t>210_制剂（蒙汉兼通）</t>
  </si>
  <si>
    <t>211_检验科</t>
  </si>
  <si>
    <t>212_护理</t>
  </si>
  <si>
    <t>213_护理（蒙汉兼通）1</t>
  </si>
  <si>
    <t>214_护理（蒙汉兼通）2</t>
  </si>
  <si>
    <t>215_信息科1</t>
  </si>
  <si>
    <t>216_信息科2</t>
  </si>
  <si>
    <t>217_行政（1）</t>
  </si>
  <si>
    <t>218_行政（2）</t>
  </si>
  <si>
    <t>219_宣传科</t>
  </si>
  <si>
    <t>220_总务科1</t>
  </si>
  <si>
    <t>221_器械科(蒙汉兼通）</t>
  </si>
  <si>
    <t>223_总务科2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</si>
</sst>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3"/>
  <sheetViews>
    <sheetView tabSelected="1" workbookViewId="0">
      <selection activeCell="N7" sqref="N7"/>
    </sheetView>
  </sheetViews>
  <sheetFormatPr defaultRowHeight="13.5"/>
  <cols>
    <col min="1" max="1" width="14.875" customWidth="1"/>
    <col min="2" max="2" width="15.625" customWidth="1"/>
    <col min="3" max="3" width="4.875" customWidth="1"/>
    <col min="4" max="4" width="7.125" customWidth="1"/>
    <col min="5" max="5" width="12.5" customWidth="1"/>
    <col min="6" max="6" width="6" customWidth="1"/>
    <col min="7" max="7" width="7.25" customWidth="1"/>
    <col min="9" max="9" width="12.5" customWidth="1"/>
    <col min="10" max="10" width="11.75" customWidth="1"/>
  </cols>
  <sheetData>
    <row r="1" spans="1:10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3" t="s">
        <v>9</v>
      </c>
      <c r="J2" s="4" t="s">
        <v>10</v>
      </c>
    </row>
    <row r="3" spans="1:10">
      <c r="A3" s="1" t="s">
        <v>11</v>
      </c>
      <c r="B3" s="1" t="str">
        <f>"毛乐尔"</f>
        <v>毛乐尔</v>
      </c>
      <c r="C3" s="1" t="str">
        <f>"女"</f>
        <v>女</v>
      </c>
      <c r="D3" s="1" t="str">
        <f t="shared" ref="D3:D39" si="0">"蒙古族"</f>
        <v>蒙古族</v>
      </c>
      <c r="E3" s="1" t="str">
        <f>"15062010101"</f>
        <v>15062010101</v>
      </c>
      <c r="F3" s="1">
        <v>1</v>
      </c>
      <c r="G3" s="1">
        <v>1</v>
      </c>
      <c r="H3" s="5">
        <v>59</v>
      </c>
      <c r="I3" s="1">
        <v>2.5</v>
      </c>
      <c r="J3" s="1">
        <f t="shared" ref="J3:J66" si="1">H3+I3</f>
        <v>61.5</v>
      </c>
    </row>
    <row r="4" spans="1:10">
      <c r="A4" s="1" t="s">
        <v>12</v>
      </c>
      <c r="B4" s="1" t="str">
        <f>"苏娅"</f>
        <v>苏娅</v>
      </c>
      <c r="C4" s="1" t="str">
        <f>"女"</f>
        <v>女</v>
      </c>
      <c r="D4" s="1" t="str">
        <f t="shared" si="0"/>
        <v>蒙古族</v>
      </c>
      <c r="E4" s="1" t="str">
        <f>"15062020102"</f>
        <v>15062020102</v>
      </c>
      <c r="F4" s="1">
        <v>1</v>
      </c>
      <c r="G4" s="1">
        <v>2</v>
      </c>
      <c r="H4" s="5">
        <v>51</v>
      </c>
      <c r="I4" s="1">
        <v>2.5</v>
      </c>
      <c r="J4" s="1">
        <f t="shared" si="1"/>
        <v>53.5</v>
      </c>
    </row>
    <row r="5" spans="1:10">
      <c r="A5" s="1" t="s">
        <v>12</v>
      </c>
      <c r="B5" s="1" t="str">
        <f>"明明"</f>
        <v>明明</v>
      </c>
      <c r="C5" s="1" t="str">
        <f>"女"</f>
        <v>女</v>
      </c>
      <c r="D5" s="1" t="str">
        <f t="shared" si="0"/>
        <v>蒙古族</v>
      </c>
      <c r="E5" s="1" t="str">
        <f>"15062020103"</f>
        <v>15062020103</v>
      </c>
      <c r="F5" s="1">
        <v>1</v>
      </c>
      <c r="G5" s="1">
        <v>3</v>
      </c>
      <c r="H5" s="5">
        <v>57</v>
      </c>
      <c r="I5" s="1">
        <v>2.5</v>
      </c>
      <c r="J5" s="1">
        <f t="shared" si="1"/>
        <v>59.5</v>
      </c>
    </row>
    <row r="6" spans="1:10">
      <c r="A6" s="1" t="s">
        <v>12</v>
      </c>
      <c r="B6" s="1" t="str">
        <f>"包胡依勒"</f>
        <v>包胡依勒</v>
      </c>
      <c r="C6" s="1" t="str">
        <f>"女"</f>
        <v>女</v>
      </c>
      <c r="D6" s="1" t="str">
        <f t="shared" si="0"/>
        <v>蒙古族</v>
      </c>
      <c r="E6" s="1" t="str">
        <f>"15062020104"</f>
        <v>15062020104</v>
      </c>
      <c r="F6" s="1">
        <v>1</v>
      </c>
      <c r="G6" s="1">
        <v>4</v>
      </c>
      <c r="H6" s="5">
        <v>0</v>
      </c>
      <c r="I6" s="1">
        <v>0</v>
      </c>
      <c r="J6" s="1">
        <f t="shared" si="1"/>
        <v>0</v>
      </c>
    </row>
    <row r="7" spans="1:10">
      <c r="A7" s="1" t="s">
        <v>12</v>
      </c>
      <c r="B7" s="1" t="str">
        <f>"王兵"</f>
        <v>王兵</v>
      </c>
      <c r="C7" s="1" t="str">
        <f>"男"</f>
        <v>男</v>
      </c>
      <c r="D7" s="1" t="str">
        <f t="shared" si="0"/>
        <v>蒙古族</v>
      </c>
      <c r="E7" s="1" t="str">
        <f>"15062020105"</f>
        <v>15062020105</v>
      </c>
      <c r="F7" s="1">
        <v>1</v>
      </c>
      <c r="G7" s="1">
        <v>5</v>
      </c>
      <c r="H7" s="5">
        <v>62</v>
      </c>
      <c r="I7" s="1">
        <v>2.5</v>
      </c>
      <c r="J7" s="1">
        <f t="shared" si="1"/>
        <v>64.5</v>
      </c>
    </row>
    <row r="8" spans="1:10">
      <c r="A8" s="1" t="s">
        <v>12</v>
      </c>
      <c r="B8" s="1" t="str">
        <f>"乔文玲"</f>
        <v>乔文玲</v>
      </c>
      <c r="C8" s="1" t="str">
        <f>"女"</f>
        <v>女</v>
      </c>
      <c r="D8" s="1" t="str">
        <f t="shared" si="0"/>
        <v>蒙古族</v>
      </c>
      <c r="E8" s="1" t="str">
        <f>"15062020106"</f>
        <v>15062020106</v>
      </c>
      <c r="F8" s="1">
        <v>1</v>
      </c>
      <c r="G8" s="1">
        <v>6</v>
      </c>
      <c r="H8" s="5">
        <v>0</v>
      </c>
      <c r="I8" s="1">
        <v>0</v>
      </c>
      <c r="J8" s="1">
        <f t="shared" si="1"/>
        <v>0</v>
      </c>
    </row>
    <row r="9" spans="1:10">
      <c r="A9" s="1" t="s">
        <v>12</v>
      </c>
      <c r="B9" s="1" t="str">
        <f>"都日娜"</f>
        <v>都日娜</v>
      </c>
      <c r="C9" s="1" t="str">
        <f>"女"</f>
        <v>女</v>
      </c>
      <c r="D9" s="1" t="str">
        <f t="shared" si="0"/>
        <v>蒙古族</v>
      </c>
      <c r="E9" s="1" t="str">
        <f>"15062020107"</f>
        <v>15062020107</v>
      </c>
      <c r="F9" s="1">
        <v>1</v>
      </c>
      <c r="G9" s="1">
        <v>7</v>
      </c>
      <c r="H9" s="5">
        <v>0</v>
      </c>
      <c r="I9" s="1">
        <v>0</v>
      </c>
      <c r="J9" s="1">
        <f t="shared" si="1"/>
        <v>0</v>
      </c>
    </row>
    <row r="10" spans="1:10">
      <c r="A10" s="1" t="s">
        <v>13</v>
      </c>
      <c r="B10" s="1" t="str">
        <f>"石珊丹"</f>
        <v>石珊丹</v>
      </c>
      <c r="C10" s="1" t="str">
        <f>"女"</f>
        <v>女</v>
      </c>
      <c r="D10" s="1" t="str">
        <f t="shared" si="0"/>
        <v>蒙古族</v>
      </c>
      <c r="E10" s="1" t="str">
        <f>"15062030108"</f>
        <v>15062030108</v>
      </c>
      <c r="F10" s="1">
        <v>1</v>
      </c>
      <c r="G10" s="1">
        <v>8</v>
      </c>
      <c r="H10" s="5">
        <v>66</v>
      </c>
      <c r="I10" s="1">
        <v>2.5</v>
      </c>
      <c r="J10" s="1">
        <f t="shared" si="1"/>
        <v>68.5</v>
      </c>
    </row>
    <row r="11" spans="1:10">
      <c r="A11" s="1" t="s">
        <v>13</v>
      </c>
      <c r="B11" s="1" t="str">
        <f>"刘志强"</f>
        <v>刘志强</v>
      </c>
      <c r="C11" s="1" t="str">
        <f>"男"</f>
        <v>男</v>
      </c>
      <c r="D11" s="1" t="str">
        <f t="shared" si="0"/>
        <v>蒙古族</v>
      </c>
      <c r="E11" s="1" t="str">
        <f>"15062030109"</f>
        <v>15062030109</v>
      </c>
      <c r="F11" s="1">
        <v>1</v>
      </c>
      <c r="G11" s="1">
        <v>9</v>
      </c>
      <c r="H11" s="5">
        <v>53</v>
      </c>
      <c r="I11" s="1">
        <v>2.5</v>
      </c>
      <c r="J11" s="1">
        <f t="shared" si="1"/>
        <v>55.5</v>
      </c>
    </row>
    <row r="12" spans="1:10">
      <c r="A12" s="1" t="s">
        <v>13</v>
      </c>
      <c r="B12" s="1" t="str">
        <f>"青云"</f>
        <v>青云</v>
      </c>
      <c r="C12" s="1" t="str">
        <f>"男"</f>
        <v>男</v>
      </c>
      <c r="D12" s="1" t="str">
        <f t="shared" si="0"/>
        <v>蒙古族</v>
      </c>
      <c r="E12" s="1" t="str">
        <f>"15062030110"</f>
        <v>15062030110</v>
      </c>
      <c r="F12" s="1">
        <v>1</v>
      </c>
      <c r="G12" s="1">
        <v>10</v>
      </c>
      <c r="H12" s="5">
        <v>0</v>
      </c>
      <c r="I12" s="1">
        <v>0</v>
      </c>
      <c r="J12" s="1">
        <f t="shared" si="1"/>
        <v>0</v>
      </c>
    </row>
    <row r="13" spans="1:10">
      <c r="A13" s="1" t="s">
        <v>13</v>
      </c>
      <c r="B13" s="1" t="str">
        <f>"张永新"</f>
        <v>张永新</v>
      </c>
      <c r="C13" s="1" t="str">
        <f>"男"</f>
        <v>男</v>
      </c>
      <c r="D13" s="1" t="str">
        <f t="shared" si="0"/>
        <v>蒙古族</v>
      </c>
      <c r="E13" s="1" t="str">
        <f>"15062030111"</f>
        <v>15062030111</v>
      </c>
      <c r="F13" s="1">
        <v>1</v>
      </c>
      <c r="G13" s="1">
        <v>11</v>
      </c>
      <c r="H13" s="5">
        <v>0</v>
      </c>
      <c r="I13" s="1">
        <v>0</v>
      </c>
      <c r="J13" s="1">
        <f t="shared" si="1"/>
        <v>0</v>
      </c>
    </row>
    <row r="14" spans="1:10">
      <c r="A14" s="1" t="s">
        <v>14</v>
      </c>
      <c r="B14" s="1" t="str">
        <f>"乌敦毕力格"</f>
        <v>乌敦毕力格</v>
      </c>
      <c r="C14" s="1" t="str">
        <f>"女"</f>
        <v>女</v>
      </c>
      <c r="D14" s="1" t="str">
        <f t="shared" si="0"/>
        <v>蒙古族</v>
      </c>
      <c r="E14" s="1" t="str">
        <f>"15062040112"</f>
        <v>15062040112</v>
      </c>
      <c r="F14" s="1">
        <v>1</v>
      </c>
      <c r="G14" s="1">
        <v>12</v>
      </c>
      <c r="H14" s="5">
        <v>63</v>
      </c>
      <c r="I14" s="1">
        <v>2.5</v>
      </c>
      <c r="J14" s="1">
        <f t="shared" si="1"/>
        <v>65.5</v>
      </c>
    </row>
    <row r="15" spans="1:10">
      <c r="A15" s="1" t="s">
        <v>14</v>
      </c>
      <c r="B15" s="1" t="str">
        <f>"杨顺利"</f>
        <v>杨顺利</v>
      </c>
      <c r="C15" s="1" t="str">
        <f>"女"</f>
        <v>女</v>
      </c>
      <c r="D15" s="1" t="str">
        <f t="shared" si="0"/>
        <v>蒙古族</v>
      </c>
      <c r="E15" s="1" t="str">
        <f>"15062040113"</f>
        <v>15062040113</v>
      </c>
      <c r="F15" s="1">
        <v>1</v>
      </c>
      <c r="G15" s="1">
        <v>13</v>
      </c>
      <c r="H15" s="5">
        <v>52</v>
      </c>
      <c r="I15" s="1">
        <v>2.5</v>
      </c>
      <c r="J15" s="1">
        <f t="shared" si="1"/>
        <v>54.5</v>
      </c>
    </row>
    <row r="16" spans="1:10">
      <c r="A16" s="1" t="s">
        <v>14</v>
      </c>
      <c r="B16" s="1" t="str">
        <f>"萨仁图娜拉"</f>
        <v>萨仁图娜拉</v>
      </c>
      <c r="C16" s="1" t="str">
        <f>"女"</f>
        <v>女</v>
      </c>
      <c r="D16" s="1" t="str">
        <f t="shared" si="0"/>
        <v>蒙古族</v>
      </c>
      <c r="E16" s="1" t="str">
        <f>"15062040114"</f>
        <v>15062040114</v>
      </c>
      <c r="F16" s="1">
        <v>1</v>
      </c>
      <c r="G16" s="1">
        <v>14</v>
      </c>
      <c r="H16" s="5">
        <v>49</v>
      </c>
      <c r="I16" s="1">
        <v>2.5</v>
      </c>
      <c r="J16" s="1">
        <f t="shared" si="1"/>
        <v>51.5</v>
      </c>
    </row>
    <row r="17" spans="1:10">
      <c r="A17" s="1" t="s">
        <v>14</v>
      </c>
      <c r="B17" s="1" t="str">
        <f>"谢永兰"</f>
        <v>谢永兰</v>
      </c>
      <c r="C17" s="1" t="str">
        <f>"女"</f>
        <v>女</v>
      </c>
      <c r="D17" s="1" t="str">
        <f t="shared" si="0"/>
        <v>蒙古族</v>
      </c>
      <c r="E17" s="1" t="str">
        <f>"15062040115"</f>
        <v>15062040115</v>
      </c>
      <c r="F17" s="1">
        <v>1</v>
      </c>
      <c r="G17" s="1">
        <v>15</v>
      </c>
      <c r="H17" s="5">
        <v>60</v>
      </c>
      <c r="I17" s="1">
        <v>2.5</v>
      </c>
      <c r="J17" s="1">
        <f t="shared" si="1"/>
        <v>62.5</v>
      </c>
    </row>
    <row r="18" spans="1:10">
      <c r="A18" s="1" t="s">
        <v>14</v>
      </c>
      <c r="B18" s="1" t="str">
        <f>"敖毕德斯"</f>
        <v>敖毕德斯</v>
      </c>
      <c r="C18" s="1" t="str">
        <f>"男"</f>
        <v>男</v>
      </c>
      <c r="D18" s="1" t="str">
        <f t="shared" si="0"/>
        <v>蒙古族</v>
      </c>
      <c r="E18" s="1" t="str">
        <f>"15062040116"</f>
        <v>15062040116</v>
      </c>
      <c r="F18" s="1">
        <v>1</v>
      </c>
      <c r="G18" s="1">
        <v>16</v>
      </c>
      <c r="H18" s="5">
        <v>0</v>
      </c>
      <c r="I18" s="1">
        <v>0</v>
      </c>
      <c r="J18" s="1">
        <f t="shared" si="1"/>
        <v>0</v>
      </c>
    </row>
    <row r="19" spans="1:10">
      <c r="A19" s="1" t="s">
        <v>14</v>
      </c>
      <c r="B19" s="1" t="str">
        <f>"乌东高娃"</f>
        <v>乌东高娃</v>
      </c>
      <c r="C19" s="1" t="str">
        <f>"女"</f>
        <v>女</v>
      </c>
      <c r="D19" s="1" t="str">
        <f t="shared" si="0"/>
        <v>蒙古族</v>
      </c>
      <c r="E19" s="1" t="str">
        <f>"15062040117"</f>
        <v>15062040117</v>
      </c>
      <c r="F19" s="1">
        <v>1</v>
      </c>
      <c r="G19" s="1">
        <v>17</v>
      </c>
      <c r="H19" s="5">
        <v>54</v>
      </c>
      <c r="I19" s="1">
        <v>2.5</v>
      </c>
      <c r="J19" s="1">
        <f t="shared" si="1"/>
        <v>56.5</v>
      </c>
    </row>
    <row r="20" spans="1:10">
      <c r="A20" s="1" t="s">
        <v>14</v>
      </c>
      <c r="B20" s="1" t="str">
        <f>"巴达日胡"</f>
        <v>巴达日胡</v>
      </c>
      <c r="C20" s="1" t="str">
        <f>"男"</f>
        <v>男</v>
      </c>
      <c r="D20" s="1" t="str">
        <f t="shared" si="0"/>
        <v>蒙古族</v>
      </c>
      <c r="E20" s="1" t="str">
        <f>"15062040118"</f>
        <v>15062040118</v>
      </c>
      <c r="F20" s="1">
        <v>1</v>
      </c>
      <c r="G20" s="1">
        <v>18</v>
      </c>
      <c r="H20" s="5">
        <v>0</v>
      </c>
      <c r="I20" s="1">
        <v>0</v>
      </c>
      <c r="J20" s="1">
        <f t="shared" si="1"/>
        <v>0</v>
      </c>
    </row>
    <row r="21" spans="1:10">
      <c r="A21" s="1" t="s">
        <v>14</v>
      </c>
      <c r="B21" s="1" t="str">
        <f>"青克尔"</f>
        <v>青克尔</v>
      </c>
      <c r="C21" s="1" t="str">
        <f>"女"</f>
        <v>女</v>
      </c>
      <c r="D21" s="1" t="str">
        <f t="shared" si="0"/>
        <v>蒙古族</v>
      </c>
      <c r="E21" s="1" t="str">
        <f>"15062040119"</f>
        <v>15062040119</v>
      </c>
      <c r="F21" s="1">
        <v>1</v>
      </c>
      <c r="G21" s="1">
        <v>19</v>
      </c>
      <c r="H21" s="5">
        <v>69</v>
      </c>
      <c r="I21" s="1">
        <v>2.5</v>
      </c>
      <c r="J21" s="1">
        <f t="shared" si="1"/>
        <v>71.5</v>
      </c>
    </row>
    <row r="22" spans="1:10">
      <c r="A22" s="1" t="s">
        <v>14</v>
      </c>
      <c r="B22" s="1" t="str">
        <f>"阿庆图亚"</f>
        <v>阿庆图亚</v>
      </c>
      <c r="C22" s="1" t="str">
        <f>"女"</f>
        <v>女</v>
      </c>
      <c r="D22" s="1" t="str">
        <f t="shared" si="0"/>
        <v>蒙古族</v>
      </c>
      <c r="E22" s="1" t="str">
        <f>"15062040120"</f>
        <v>15062040120</v>
      </c>
      <c r="F22" s="1">
        <v>1</v>
      </c>
      <c r="G22" s="1">
        <v>20</v>
      </c>
      <c r="H22" s="5">
        <v>55</v>
      </c>
      <c r="I22" s="1">
        <v>2.5</v>
      </c>
      <c r="J22" s="1">
        <f t="shared" si="1"/>
        <v>57.5</v>
      </c>
    </row>
    <row r="23" spans="1:10">
      <c r="A23" s="1" t="s">
        <v>15</v>
      </c>
      <c r="B23" s="1" t="str">
        <f>"特古斯阿拉德尔"</f>
        <v>特古斯阿拉德尔</v>
      </c>
      <c r="C23" s="1" t="str">
        <f>"男"</f>
        <v>男</v>
      </c>
      <c r="D23" s="1" t="str">
        <f t="shared" si="0"/>
        <v>蒙古族</v>
      </c>
      <c r="E23" s="1" t="str">
        <f>"15062050121"</f>
        <v>15062050121</v>
      </c>
      <c r="F23" s="1">
        <v>1</v>
      </c>
      <c r="G23" s="1">
        <v>21</v>
      </c>
      <c r="H23" s="5">
        <v>62</v>
      </c>
      <c r="I23" s="1">
        <v>2.5</v>
      </c>
      <c r="J23" s="1">
        <f t="shared" si="1"/>
        <v>64.5</v>
      </c>
    </row>
    <row r="24" spans="1:10">
      <c r="A24" s="1" t="s">
        <v>15</v>
      </c>
      <c r="B24" s="1" t="str">
        <f>"萨除热拉图"</f>
        <v>萨除热拉图</v>
      </c>
      <c r="C24" s="1" t="str">
        <f>"女"</f>
        <v>女</v>
      </c>
      <c r="D24" s="1" t="str">
        <f t="shared" si="0"/>
        <v>蒙古族</v>
      </c>
      <c r="E24" s="1" t="str">
        <f>"15062050122"</f>
        <v>15062050122</v>
      </c>
      <c r="F24" s="1">
        <v>1</v>
      </c>
      <c r="G24" s="1">
        <v>22</v>
      </c>
      <c r="H24" s="5">
        <v>58</v>
      </c>
      <c r="I24" s="1">
        <v>2.5</v>
      </c>
      <c r="J24" s="1">
        <f t="shared" si="1"/>
        <v>60.5</v>
      </c>
    </row>
    <row r="25" spans="1:10">
      <c r="A25" s="1" t="s">
        <v>15</v>
      </c>
      <c r="B25" s="1" t="str">
        <f>"吉日嘎拉其其格"</f>
        <v>吉日嘎拉其其格</v>
      </c>
      <c r="C25" s="1" t="str">
        <f>"女"</f>
        <v>女</v>
      </c>
      <c r="D25" s="1" t="str">
        <f t="shared" si="0"/>
        <v>蒙古族</v>
      </c>
      <c r="E25" s="1" t="str">
        <f>"15062050123"</f>
        <v>15062050123</v>
      </c>
      <c r="F25" s="1">
        <v>1</v>
      </c>
      <c r="G25" s="1">
        <v>23</v>
      </c>
      <c r="H25" s="5">
        <v>23</v>
      </c>
      <c r="I25" s="1">
        <v>2.5</v>
      </c>
      <c r="J25" s="1">
        <f t="shared" si="1"/>
        <v>25.5</v>
      </c>
    </row>
    <row r="26" spans="1:10">
      <c r="A26" s="1" t="s">
        <v>15</v>
      </c>
      <c r="B26" s="1" t="str">
        <f>"敖日其楞"</f>
        <v>敖日其楞</v>
      </c>
      <c r="C26" s="1" t="str">
        <f>"男"</f>
        <v>男</v>
      </c>
      <c r="D26" s="1" t="str">
        <f t="shared" si="0"/>
        <v>蒙古族</v>
      </c>
      <c r="E26" s="1" t="str">
        <f>"15062050124"</f>
        <v>15062050124</v>
      </c>
      <c r="F26" s="1">
        <v>1</v>
      </c>
      <c r="G26" s="1">
        <v>24</v>
      </c>
      <c r="H26" s="5">
        <v>47</v>
      </c>
      <c r="I26" s="1">
        <v>2.5</v>
      </c>
      <c r="J26" s="1">
        <f t="shared" si="1"/>
        <v>49.5</v>
      </c>
    </row>
    <row r="27" spans="1:10">
      <c r="A27" s="1" t="s">
        <v>15</v>
      </c>
      <c r="B27" s="1" t="str">
        <f>"伊日贵"</f>
        <v>伊日贵</v>
      </c>
      <c r="C27" s="1" t="str">
        <f>"女"</f>
        <v>女</v>
      </c>
      <c r="D27" s="1" t="str">
        <f t="shared" si="0"/>
        <v>蒙古族</v>
      </c>
      <c r="E27" s="1" t="str">
        <f>"15062050125"</f>
        <v>15062050125</v>
      </c>
      <c r="F27" s="1">
        <v>1</v>
      </c>
      <c r="G27" s="1">
        <v>25</v>
      </c>
      <c r="H27" s="5">
        <v>59</v>
      </c>
      <c r="I27" s="1">
        <v>2.5</v>
      </c>
      <c r="J27" s="1">
        <f t="shared" si="1"/>
        <v>61.5</v>
      </c>
    </row>
    <row r="28" spans="1:10">
      <c r="A28" s="1" t="s">
        <v>15</v>
      </c>
      <c r="B28" s="1" t="str">
        <f>"杨卓那"</f>
        <v>杨卓那</v>
      </c>
      <c r="C28" s="1" t="str">
        <f>"女"</f>
        <v>女</v>
      </c>
      <c r="D28" s="1" t="str">
        <f t="shared" si="0"/>
        <v>蒙古族</v>
      </c>
      <c r="E28" s="1" t="str">
        <f>"15062050126"</f>
        <v>15062050126</v>
      </c>
      <c r="F28" s="1">
        <v>1</v>
      </c>
      <c r="G28" s="1">
        <v>26</v>
      </c>
      <c r="H28" s="5">
        <v>44</v>
      </c>
      <c r="I28" s="1">
        <v>2.5</v>
      </c>
      <c r="J28" s="1">
        <f t="shared" si="1"/>
        <v>46.5</v>
      </c>
    </row>
    <row r="29" spans="1:10">
      <c r="A29" s="1" t="s">
        <v>15</v>
      </c>
      <c r="B29" s="1" t="str">
        <f>"格根花日"</f>
        <v>格根花日</v>
      </c>
      <c r="C29" s="1" t="str">
        <f>"女"</f>
        <v>女</v>
      </c>
      <c r="D29" s="1" t="str">
        <f t="shared" si="0"/>
        <v>蒙古族</v>
      </c>
      <c r="E29" s="1" t="str">
        <f>"15062050127"</f>
        <v>15062050127</v>
      </c>
      <c r="F29" s="1">
        <v>1</v>
      </c>
      <c r="G29" s="1">
        <v>27</v>
      </c>
      <c r="H29" s="5">
        <v>0</v>
      </c>
      <c r="I29" s="1">
        <v>0</v>
      </c>
      <c r="J29" s="1">
        <f t="shared" si="1"/>
        <v>0</v>
      </c>
    </row>
    <row r="30" spans="1:10">
      <c r="A30" s="1" t="s">
        <v>15</v>
      </c>
      <c r="B30" s="1" t="str">
        <f>"那顺乌力吉"</f>
        <v>那顺乌力吉</v>
      </c>
      <c r="C30" s="1" t="str">
        <f>"男"</f>
        <v>男</v>
      </c>
      <c r="D30" s="1" t="str">
        <f t="shared" si="0"/>
        <v>蒙古族</v>
      </c>
      <c r="E30" s="1" t="str">
        <f>"15062050128"</f>
        <v>15062050128</v>
      </c>
      <c r="F30" s="1">
        <v>1</v>
      </c>
      <c r="G30" s="1">
        <v>28</v>
      </c>
      <c r="H30" s="5">
        <v>50</v>
      </c>
      <c r="I30" s="1">
        <v>2.5</v>
      </c>
      <c r="J30" s="1">
        <f t="shared" si="1"/>
        <v>52.5</v>
      </c>
    </row>
    <row r="31" spans="1:10">
      <c r="A31" s="1" t="s">
        <v>15</v>
      </c>
      <c r="B31" s="1" t="str">
        <f>"阿日古娜"</f>
        <v>阿日古娜</v>
      </c>
      <c r="C31" s="1" t="str">
        <f>"女"</f>
        <v>女</v>
      </c>
      <c r="D31" s="1" t="str">
        <f t="shared" si="0"/>
        <v>蒙古族</v>
      </c>
      <c r="E31" s="1" t="str">
        <f>"15062050129"</f>
        <v>15062050129</v>
      </c>
      <c r="F31" s="1">
        <v>1</v>
      </c>
      <c r="G31" s="1">
        <v>29</v>
      </c>
      <c r="H31" s="5">
        <v>52</v>
      </c>
      <c r="I31" s="1">
        <v>2.5</v>
      </c>
      <c r="J31" s="1">
        <f t="shared" si="1"/>
        <v>54.5</v>
      </c>
    </row>
    <row r="32" spans="1:10">
      <c r="A32" s="1" t="s">
        <v>15</v>
      </c>
      <c r="B32" s="1" t="str">
        <f>"乌兰其其格"</f>
        <v>乌兰其其格</v>
      </c>
      <c r="C32" s="1" t="str">
        <f>"女"</f>
        <v>女</v>
      </c>
      <c r="D32" s="1" t="str">
        <f t="shared" si="0"/>
        <v>蒙古族</v>
      </c>
      <c r="E32" s="1" t="str">
        <f>"15062050130"</f>
        <v>15062050130</v>
      </c>
      <c r="F32" s="1">
        <v>1</v>
      </c>
      <c r="G32" s="1">
        <v>30</v>
      </c>
      <c r="H32" s="5">
        <v>0</v>
      </c>
      <c r="I32" s="1">
        <v>0</v>
      </c>
      <c r="J32" s="1">
        <f t="shared" si="1"/>
        <v>0</v>
      </c>
    </row>
    <row r="33" spans="1:10">
      <c r="A33" s="1" t="s">
        <v>15</v>
      </c>
      <c r="B33" s="1" t="str">
        <f>"乌云巴图"</f>
        <v>乌云巴图</v>
      </c>
      <c r="C33" s="1" t="str">
        <f>"男"</f>
        <v>男</v>
      </c>
      <c r="D33" s="1" t="str">
        <f t="shared" si="0"/>
        <v>蒙古族</v>
      </c>
      <c r="E33" s="1" t="str">
        <f>"15062050201"</f>
        <v>15062050201</v>
      </c>
      <c r="F33" s="1">
        <v>2</v>
      </c>
      <c r="G33" s="1">
        <v>1</v>
      </c>
      <c r="H33" s="5">
        <v>47</v>
      </c>
      <c r="I33" s="1">
        <v>2.5</v>
      </c>
      <c r="J33" s="1">
        <f t="shared" si="1"/>
        <v>49.5</v>
      </c>
    </row>
    <row r="34" spans="1:10">
      <c r="A34" s="1" t="s">
        <v>15</v>
      </c>
      <c r="B34" s="1" t="str">
        <f>"吉勒贡"</f>
        <v>吉勒贡</v>
      </c>
      <c r="C34" s="1" t="str">
        <f>"男"</f>
        <v>男</v>
      </c>
      <c r="D34" s="1" t="str">
        <f t="shared" si="0"/>
        <v>蒙古族</v>
      </c>
      <c r="E34" s="1" t="str">
        <f>"15062050202"</f>
        <v>15062050202</v>
      </c>
      <c r="F34" s="1">
        <v>2</v>
      </c>
      <c r="G34" s="1">
        <v>2</v>
      </c>
      <c r="H34" s="5">
        <v>51</v>
      </c>
      <c r="I34" s="1">
        <v>2.5</v>
      </c>
      <c r="J34" s="1">
        <f t="shared" si="1"/>
        <v>53.5</v>
      </c>
    </row>
    <row r="35" spans="1:10">
      <c r="A35" s="1" t="s">
        <v>15</v>
      </c>
      <c r="B35" s="1" t="str">
        <f>"白嘎理"</f>
        <v>白嘎理</v>
      </c>
      <c r="C35" s="1" t="str">
        <f>"男"</f>
        <v>男</v>
      </c>
      <c r="D35" s="1" t="str">
        <f t="shared" si="0"/>
        <v>蒙古族</v>
      </c>
      <c r="E35" s="1" t="str">
        <f>"15062050203"</f>
        <v>15062050203</v>
      </c>
      <c r="F35" s="1">
        <v>2</v>
      </c>
      <c r="G35" s="1">
        <v>3</v>
      </c>
      <c r="H35" s="5">
        <v>58</v>
      </c>
      <c r="I35" s="1">
        <v>2.5</v>
      </c>
      <c r="J35" s="1">
        <f t="shared" si="1"/>
        <v>60.5</v>
      </c>
    </row>
    <row r="36" spans="1:10">
      <c r="A36" s="1" t="s">
        <v>15</v>
      </c>
      <c r="B36" s="1" t="str">
        <f>"萨日娜"</f>
        <v>萨日娜</v>
      </c>
      <c r="C36" s="1" t="str">
        <f>"女"</f>
        <v>女</v>
      </c>
      <c r="D36" s="1" t="str">
        <f t="shared" si="0"/>
        <v>蒙古族</v>
      </c>
      <c r="E36" s="1" t="str">
        <f>"15062050204"</f>
        <v>15062050204</v>
      </c>
      <c r="F36" s="1">
        <v>2</v>
      </c>
      <c r="G36" s="1">
        <v>4</v>
      </c>
      <c r="H36" s="5">
        <v>0</v>
      </c>
      <c r="I36" s="1">
        <v>0</v>
      </c>
      <c r="J36" s="1">
        <f t="shared" si="1"/>
        <v>0</v>
      </c>
    </row>
    <row r="37" spans="1:10">
      <c r="A37" s="1" t="s">
        <v>15</v>
      </c>
      <c r="B37" s="1" t="str">
        <f>"乌雅汗"</f>
        <v>乌雅汗</v>
      </c>
      <c r="C37" s="1" t="str">
        <f>"女"</f>
        <v>女</v>
      </c>
      <c r="D37" s="1" t="str">
        <f t="shared" si="0"/>
        <v>蒙古族</v>
      </c>
      <c r="E37" s="1" t="str">
        <f>"15062050205"</f>
        <v>15062050205</v>
      </c>
      <c r="F37" s="1">
        <v>2</v>
      </c>
      <c r="G37" s="1">
        <v>5</v>
      </c>
      <c r="H37" s="5">
        <v>46</v>
      </c>
      <c r="I37" s="1">
        <v>2.5</v>
      </c>
      <c r="J37" s="1">
        <f t="shared" si="1"/>
        <v>48.5</v>
      </c>
    </row>
    <row r="38" spans="1:10">
      <c r="A38" s="1" t="s">
        <v>15</v>
      </c>
      <c r="B38" s="1" t="str">
        <f>"苏雅高娃"</f>
        <v>苏雅高娃</v>
      </c>
      <c r="C38" s="1" t="str">
        <f>"女"</f>
        <v>女</v>
      </c>
      <c r="D38" s="1" t="str">
        <f t="shared" si="0"/>
        <v>蒙古族</v>
      </c>
      <c r="E38" s="1" t="str">
        <f>"15062050206"</f>
        <v>15062050206</v>
      </c>
      <c r="F38" s="1">
        <v>2</v>
      </c>
      <c r="G38" s="1">
        <v>6</v>
      </c>
      <c r="H38" s="5">
        <v>42</v>
      </c>
      <c r="I38" s="1">
        <v>2.5</v>
      </c>
      <c r="J38" s="1">
        <f t="shared" si="1"/>
        <v>44.5</v>
      </c>
    </row>
    <row r="39" spans="1:10">
      <c r="A39" s="1" t="s">
        <v>15</v>
      </c>
      <c r="B39" s="1" t="str">
        <f>"訾女女"</f>
        <v>訾女女</v>
      </c>
      <c r="C39" s="1" t="str">
        <f>"女"</f>
        <v>女</v>
      </c>
      <c r="D39" s="1" t="str">
        <f t="shared" si="0"/>
        <v>蒙古族</v>
      </c>
      <c r="E39" s="1" t="str">
        <f>"15062050207"</f>
        <v>15062050207</v>
      </c>
      <c r="F39" s="1">
        <v>2</v>
      </c>
      <c r="G39" s="1">
        <v>7</v>
      </c>
      <c r="H39" s="5">
        <v>59</v>
      </c>
      <c r="I39" s="1">
        <v>2.5</v>
      </c>
      <c r="J39" s="1">
        <f t="shared" si="1"/>
        <v>61.5</v>
      </c>
    </row>
    <row r="40" spans="1:10">
      <c r="A40" s="1" t="s">
        <v>15</v>
      </c>
      <c r="B40" s="1" t="str">
        <f>"斯琴"</f>
        <v>斯琴</v>
      </c>
      <c r="C40" s="1" t="str">
        <f>"女"</f>
        <v>女</v>
      </c>
      <c r="D40" s="1" t="str">
        <f>"汉族"</f>
        <v>汉族</v>
      </c>
      <c r="E40" s="1" t="str">
        <f>"15062050208"</f>
        <v>15062050208</v>
      </c>
      <c r="F40" s="1">
        <v>2</v>
      </c>
      <c r="G40" s="1">
        <v>8</v>
      </c>
      <c r="H40" s="5">
        <v>48</v>
      </c>
      <c r="I40" s="1">
        <v>0</v>
      </c>
      <c r="J40" s="1">
        <f t="shared" si="1"/>
        <v>48</v>
      </c>
    </row>
    <row r="41" spans="1:10">
      <c r="A41" s="1" t="s">
        <v>16</v>
      </c>
      <c r="B41" s="1" t="str">
        <f>"其格勒"</f>
        <v>其格勒</v>
      </c>
      <c r="C41" s="1" t="str">
        <f>"男"</f>
        <v>男</v>
      </c>
      <c r="D41" s="1" t="str">
        <f t="shared" ref="D41:D48" si="2">"蒙古族"</f>
        <v>蒙古族</v>
      </c>
      <c r="E41" s="1" t="str">
        <f>"15062060209"</f>
        <v>15062060209</v>
      </c>
      <c r="F41" s="1">
        <v>2</v>
      </c>
      <c r="G41" s="1">
        <v>9</v>
      </c>
      <c r="H41" s="5">
        <v>59</v>
      </c>
      <c r="I41" s="1">
        <v>2.5</v>
      </c>
      <c r="J41" s="1">
        <f t="shared" si="1"/>
        <v>61.5</v>
      </c>
    </row>
    <row r="42" spans="1:10">
      <c r="A42" s="1" t="s">
        <v>16</v>
      </c>
      <c r="B42" s="1" t="str">
        <f>"阿荣格格"</f>
        <v>阿荣格格</v>
      </c>
      <c r="C42" s="1" t="str">
        <f>"女"</f>
        <v>女</v>
      </c>
      <c r="D42" s="1" t="str">
        <f t="shared" si="2"/>
        <v>蒙古族</v>
      </c>
      <c r="E42" s="1" t="str">
        <f>"15062060210"</f>
        <v>15062060210</v>
      </c>
      <c r="F42" s="1">
        <v>2</v>
      </c>
      <c r="G42" s="1">
        <v>10</v>
      </c>
      <c r="H42" s="5">
        <v>60</v>
      </c>
      <c r="I42" s="1">
        <v>2.5</v>
      </c>
      <c r="J42" s="1">
        <f t="shared" si="1"/>
        <v>62.5</v>
      </c>
    </row>
    <row r="43" spans="1:10">
      <c r="A43" s="1" t="s">
        <v>16</v>
      </c>
      <c r="B43" s="1" t="str">
        <f>"沙仁高娃"</f>
        <v>沙仁高娃</v>
      </c>
      <c r="C43" s="1" t="str">
        <f>"女"</f>
        <v>女</v>
      </c>
      <c r="D43" s="1" t="str">
        <f t="shared" si="2"/>
        <v>蒙古族</v>
      </c>
      <c r="E43" s="1" t="str">
        <f>"15062060211"</f>
        <v>15062060211</v>
      </c>
      <c r="F43" s="1">
        <v>2</v>
      </c>
      <c r="G43" s="1">
        <v>11</v>
      </c>
      <c r="H43" s="5">
        <v>0</v>
      </c>
      <c r="I43" s="1">
        <v>0</v>
      </c>
      <c r="J43" s="1">
        <f t="shared" si="1"/>
        <v>0</v>
      </c>
    </row>
    <row r="44" spans="1:10">
      <c r="A44" s="1" t="s">
        <v>17</v>
      </c>
      <c r="B44" s="1" t="str">
        <f>"敖其尔呼亚格"</f>
        <v>敖其尔呼亚格</v>
      </c>
      <c r="C44" s="1" t="str">
        <f>"男"</f>
        <v>男</v>
      </c>
      <c r="D44" s="1" t="str">
        <f t="shared" si="2"/>
        <v>蒙古族</v>
      </c>
      <c r="E44" s="1" t="str">
        <f>"15062070212"</f>
        <v>15062070212</v>
      </c>
      <c r="F44" s="1">
        <v>2</v>
      </c>
      <c r="G44" s="1">
        <v>12</v>
      </c>
      <c r="H44" s="5">
        <v>62</v>
      </c>
      <c r="I44" s="1">
        <v>2.5</v>
      </c>
      <c r="J44" s="1">
        <f t="shared" si="1"/>
        <v>64.5</v>
      </c>
    </row>
    <row r="45" spans="1:10">
      <c r="A45" s="1" t="s">
        <v>17</v>
      </c>
      <c r="B45" s="1" t="str">
        <f>"色庆图雅"</f>
        <v>色庆图雅</v>
      </c>
      <c r="C45" s="1" t="str">
        <f>"女"</f>
        <v>女</v>
      </c>
      <c r="D45" s="1" t="str">
        <f t="shared" si="2"/>
        <v>蒙古族</v>
      </c>
      <c r="E45" s="1" t="str">
        <f>"15062070213"</f>
        <v>15062070213</v>
      </c>
      <c r="F45" s="1">
        <v>2</v>
      </c>
      <c r="G45" s="1">
        <v>13</v>
      </c>
      <c r="H45" s="5">
        <v>0</v>
      </c>
      <c r="I45" s="1">
        <v>0</v>
      </c>
      <c r="J45" s="1">
        <f t="shared" si="1"/>
        <v>0</v>
      </c>
    </row>
    <row r="46" spans="1:10">
      <c r="A46" s="1" t="s">
        <v>17</v>
      </c>
      <c r="B46" s="1" t="str">
        <f>"古尔古木"</f>
        <v>古尔古木</v>
      </c>
      <c r="C46" s="1" t="str">
        <f>"女"</f>
        <v>女</v>
      </c>
      <c r="D46" s="1" t="str">
        <f t="shared" si="2"/>
        <v>蒙古族</v>
      </c>
      <c r="E46" s="1" t="str">
        <f>"15062070214"</f>
        <v>15062070214</v>
      </c>
      <c r="F46" s="1">
        <v>2</v>
      </c>
      <c r="G46" s="1">
        <v>14</v>
      </c>
      <c r="H46" s="5">
        <v>0</v>
      </c>
      <c r="I46" s="1">
        <v>0</v>
      </c>
      <c r="J46" s="1">
        <f t="shared" si="1"/>
        <v>0</v>
      </c>
    </row>
    <row r="47" spans="1:10">
      <c r="A47" s="1" t="s">
        <v>17</v>
      </c>
      <c r="B47" s="1" t="str">
        <f>"艾丽娅"</f>
        <v>艾丽娅</v>
      </c>
      <c r="C47" s="1" t="str">
        <f>"女"</f>
        <v>女</v>
      </c>
      <c r="D47" s="1" t="str">
        <f t="shared" si="2"/>
        <v>蒙古族</v>
      </c>
      <c r="E47" s="1" t="str">
        <f>"15062070215"</f>
        <v>15062070215</v>
      </c>
      <c r="F47" s="1">
        <v>2</v>
      </c>
      <c r="G47" s="1">
        <v>15</v>
      </c>
      <c r="H47" s="5">
        <v>59</v>
      </c>
      <c r="I47" s="1">
        <v>2.5</v>
      </c>
      <c r="J47" s="1">
        <f t="shared" si="1"/>
        <v>61.5</v>
      </c>
    </row>
    <row r="48" spans="1:10">
      <c r="A48" s="1" t="s">
        <v>17</v>
      </c>
      <c r="B48" s="1" t="str">
        <f>"敖特更其其格"</f>
        <v>敖特更其其格</v>
      </c>
      <c r="C48" s="1" t="str">
        <f>"女"</f>
        <v>女</v>
      </c>
      <c r="D48" s="1" t="str">
        <f t="shared" si="2"/>
        <v>蒙古族</v>
      </c>
      <c r="E48" s="1" t="str">
        <f>"15062070216"</f>
        <v>15062070216</v>
      </c>
      <c r="F48" s="1">
        <v>2</v>
      </c>
      <c r="G48" s="1">
        <v>16</v>
      </c>
      <c r="H48" s="5">
        <v>0</v>
      </c>
      <c r="I48" s="1">
        <v>0</v>
      </c>
      <c r="J48" s="1">
        <f t="shared" si="1"/>
        <v>0</v>
      </c>
    </row>
    <row r="49" spans="1:10">
      <c r="A49" s="1" t="s">
        <v>17</v>
      </c>
      <c r="B49" s="1" t="str">
        <f>"阿日斯浪"</f>
        <v>阿日斯浪</v>
      </c>
      <c r="C49" s="1" t="str">
        <f>"男"</f>
        <v>男</v>
      </c>
      <c r="D49" s="1" t="str">
        <f>"汉族"</f>
        <v>汉族</v>
      </c>
      <c r="E49" s="1" t="str">
        <f>"15062070217"</f>
        <v>15062070217</v>
      </c>
      <c r="F49" s="1">
        <v>2</v>
      </c>
      <c r="G49" s="1">
        <v>17</v>
      </c>
      <c r="H49" s="5">
        <v>51</v>
      </c>
      <c r="I49" s="1">
        <v>2.5</v>
      </c>
      <c r="J49" s="1">
        <f t="shared" si="1"/>
        <v>53.5</v>
      </c>
    </row>
    <row r="50" spans="1:10">
      <c r="A50" s="1" t="s">
        <v>17</v>
      </c>
      <c r="B50" s="1" t="str">
        <f>"娜木热"</f>
        <v>娜木热</v>
      </c>
      <c r="C50" s="1" t="str">
        <f>"女"</f>
        <v>女</v>
      </c>
      <c r="D50" s="1" t="str">
        <f>"蒙古族"</f>
        <v>蒙古族</v>
      </c>
      <c r="E50" s="1" t="str">
        <f>"15062070218"</f>
        <v>15062070218</v>
      </c>
      <c r="F50" s="1">
        <v>2</v>
      </c>
      <c r="G50" s="1">
        <v>18</v>
      </c>
      <c r="H50" s="5">
        <v>53</v>
      </c>
      <c r="I50" s="1">
        <v>2.5</v>
      </c>
      <c r="J50" s="1">
        <f t="shared" si="1"/>
        <v>55.5</v>
      </c>
    </row>
    <row r="51" spans="1:10">
      <c r="A51" s="1" t="s">
        <v>17</v>
      </c>
      <c r="B51" s="1" t="str">
        <f>"苏日娜"</f>
        <v>苏日娜</v>
      </c>
      <c r="C51" s="1" t="str">
        <f>"女"</f>
        <v>女</v>
      </c>
      <c r="D51" s="1" t="str">
        <f>"蒙古族"</f>
        <v>蒙古族</v>
      </c>
      <c r="E51" s="1" t="str">
        <f>"15062070219"</f>
        <v>15062070219</v>
      </c>
      <c r="F51" s="1">
        <v>2</v>
      </c>
      <c r="G51" s="1">
        <v>19</v>
      </c>
      <c r="H51" s="5">
        <v>55</v>
      </c>
      <c r="I51" s="1">
        <v>2.5</v>
      </c>
      <c r="J51" s="1">
        <f t="shared" si="1"/>
        <v>57.5</v>
      </c>
    </row>
    <row r="52" spans="1:10">
      <c r="A52" s="1" t="s">
        <v>17</v>
      </c>
      <c r="B52" s="1" t="str">
        <f>"色其日娜"</f>
        <v>色其日娜</v>
      </c>
      <c r="C52" s="1" t="str">
        <f>"女"</f>
        <v>女</v>
      </c>
      <c r="D52" s="1" t="str">
        <f>"蒙古族"</f>
        <v>蒙古族</v>
      </c>
      <c r="E52" s="1" t="str">
        <f>"15062070220"</f>
        <v>15062070220</v>
      </c>
      <c r="F52" s="1">
        <v>2</v>
      </c>
      <c r="G52" s="1">
        <v>20</v>
      </c>
      <c r="H52" s="5">
        <v>0</v>
      </c>
      <c r="I52" s="1">
        <v>0</v>
      </c>
      <c r="J52" s="1">
        <f t="shared" si="1"/>
        <v>0</v>
      </c>
    </row>
    <row r="53" spans="1:10">
      <c r="A53" s="1" t="s">
        <v>17</v>
      </c>
      <c r="B53" s="1" t="str">
        <f>"莫希彦乐"</f>
        <v>莫希彦乐</v>
      </c>
      <c r="C53" s="1" t="str">
        <f>"女"</f>
        <v>女</v>
      </c>
      <c r="D53" s="1" t="str">
        <f>"蒙古族"</f>
        <v>蒙古族</v>
      </c>
      <c r="E53" s="1" t="str">
        <f>"15062070221"</f>
        <v>15062070221</v>
      </c>
      <c r="F53" s="1">
        <v>2</v>
      </c>
      <c r="G53" s="1">
        <v>21</v>
      </c>
      <c r="H53" s="5">
        <v>53</v>
      </c>
      <c r="I53" s="1">
        <v>2.5</v>
      </c>
      <c r="J53" s="1">
        <f t="shared" si="1"/>
        <v>55.5</v>
      </c>
    </row>
    <row r="54" spans="1:10">
      <c r="A54" s="1" t="s">
        <v>17</v>
      </c>
      <c r="B54" s="1" t="str">
        <f>"袁博"</f>
        <v>袁博</v>
      </c>
      <c r="C54" s="1" t="str">
        <f>"男"</f>
        <v>男</v>
      </c>
      <c r="D54" s="1" t="str">
        <f>"汉族"</f>
        <v>汉族</v>
      </c>
      <c r="E54" s="1" t="str">
        <f>"15062070222"</f>
        <v>15062070222</v>
      </c>
      <c r="F54" s="1">
        <v>2</v>
      </c>
      <c r="G54" s="1">
        <v>22</v>
      </c>
      <c r="H54" s="5">
        <v>45</v>
      </c>
      <c r="I54" s="1">
        <v>2.5</v>
      </c>
      <c r="J54" s="1">
        <f t="shared" si="1"/>
        <v>47.5</v>
      </c>
    </row>
    <row r="55" spans="1:10">
      <c r="A55" s="1" t="s">
        <v>17</v>
      </c>
      <c r="B55" s="1" t="str">
        <f>"仁庆柱格耐"</f>
        <v>仁庆柱格耐</v>
      </c>
      <c r="C55" s="1" t="str">
        <f>"男"</f>
        <v>男</v>
      </c>
      <c r="D55" s="1" t="str">
        <f t="shared" ref="D55:D61" si="3">"蒙古族"</f>
        <v>蒙古族</v>
      </c>
      <c r="E55" s="1" t="str">
        <f>"15062070223"</f>
        <v>15062070223</v>
      </c>
      <c r="F55" s="1">
        <v>2</v>
      </c>
      <c r="G55" s="1">
        <v>23</v>
      </c>
      <c r="H55" s="5">
        <v>41</v>
      </c>
      <c r="I55" s="1">
        <v>2.5</v>
      </c>
      <c r="J55" s="1">
        <f t="shared" si="1"/>
        <v>43.5</v>
      </c>
    </row>
    <row r="56" spans="1:10">
      <c r="A56" s="1" t="s">
        <v>17</v>
      </c>
      <c r="B56" s="1" t="str">
        <f>"呼斯乐"</f>
        <v>呼斯乐</v>
      </c>
      <c r="C56" s="1" t="str">
        <f>"女"</f>
        <v>女</v>
      </c>
      <c r="D56" s="1" t="str">
        <f t="shared" si="3"/>
        <v>蒙古族</v>
      </c>
      <c r="E56" s="1" t="str">
        <f>"15062070224"</f>
        <v>15062070224</v>
      </c>
      <c r="F56" s="1">
        <v>2</v>
      </c>
      <c r="G56" s="1">
        <v>24</v>
      </c>
      <c r="H56" s="5">
        <v>54</v>
      </c>
      <c r="I56" s="1">
        <v>2.5</v>
      </c>
      <c r="J56" s="1">
        <f t="shared" si="1"/>
        <v>56.5</v>
      </c>
    </row>
    <row r="57" spans="1:10">
      <c r="A57" s="1" t="s">
        <v>17</v>
      </c>
      <c r="B57" s="1" t="str">
        <f>"布和"</f>
        <v>布和</v>
      </c>
      <c r="C57" s="1" t="str">
        <f>"男"</f>
        <v>男</v>
      </c>
      <c r="D57" s="1" t="str">
        <f t="shared" si="3"/>
        <v>蒙古族</v>
      </c>
      <c r="E57" s="1" t="str">
        <f>"15062070225"</f>
        <v>15062070225</v>
      </c>
      <c r="F57" s="1">
        <v>2</v>
      </c>
      <c r="G57" s="1">
        <v>25</v>
      </c>
      <c r="H57" s="5">
        <v>39</v>
      </c>
      <c r="I57" s="1">
        <v>2.5</v>
      </c>
      <c r="J57" s="1">
        <f t="shared" si="1"/>
        <v>41.5</v>
      </c>
    </row>
    <row r="58" spans="1:10">
      <c r="A58" s="1" t="s">
        <v>17</v>
      </c>
      <c r="B58" s="1" t="str">
        <f>"牧其尔"</f>
        <v>牧其尔</v>
      </c>
      <c r="C58" s="1" t="str">
        <f>"女"</f>
        <v>女</v>
      </c>
      <c r="D58" s="1" t="str">
        <f t="shared" si="3"/>
        <v>蒙古族</v>
      </c>
      <c r="E58" s="1" t="str">
        <f>"15062070226"</f>
        <v>15062070226</v>
      </c>
      <c r="F58" s="1">
        <v>2</v>
      </c>
      <c r="G58" s="1">
        <v>26</v>
      </c>
      <c r="H58" s="5">
        <v>53</v>
      </c>
      <c r="I58" s="1">
        <v>2.5</v>
      </c>
      <c r="J58" s="1">
        <f t="shared" si="1"/>
        <v>55.5</v>
      </c>
    </row>
    <row r="59" spans="1:10">
      <c r="A59" s="1" t="s">
        <v>17</v>
      </c>
      <c r="B59" s="1" t="str">
        <f>"敖格尤"</f>
        <v>敖格尤</v>
      </c>
      <c r="C59" s="1" t="str">
        <f>"女"</f>
        <v>女</v>
      </c>
      <c r="D59" s="1" t="str">
        <f t="shared" si="3"/>
        <v>蒙古族</v>
      </c>
      <c r="E59" s="1" t="str">
        <f>"15062070227"</f>
        <v>15062070227</v>
      </c>
      <c r="F59" s="1">
        <v>2</v>
      </c>
      <c r="G59" s="1">
        <v>27</v>
      </c>
      <c r="H59" s="5">
        <v>61</v>
      </c>
      <c r="I59" s="1">
        <v>2.5</v>
      </c>
      <c r="J59" s="1">
        <f t="shared" si="1"/>
        <v>63.5</v>
      </c>
    </row>
    <row r="60" spans="1:10">
      <c r="A60" s="1" t="s">
        <v>17</v>
      </c>
      <c r="B60" s="1" t="str">
        <f>"娜木那"</f>
        <v>娜木那</v>
      </c>
      <c r="C60" s="1" t="str">
        <f>"女"</f>
        <v>女</v>
      </c>
      <c r="D60" s="1" t="str">
        <f t="shared" si="3"/>
        <v>蒙古族</v>
      </c>
      <c r="E60" s="1" t="str">
        <f>"15062070228"</f>
        <v>15062070228</v>
      </c>
      <c r="F60" s="1">
        <v>2</v>
      </c>
      <c r="G60" s="1">
        <v>28</v>
      </c>
      <c r="H60" s="5">
        <v>59</v>
      </c>
      <c r="I60" s="1">
        <v>2.5</v>
      </c>
      <c r="J60" s="1">
        <f t="shared" si="1"/>
        <v>61.5</v>
      </c>
    </row>
    <row r="61" spans="1:10">
      <c r="A61" s="1" t="s">
        <v>17</v>
      </c>
      <c r="B61" s="1" t="str">
        <f>"乌力吉毕力格"</f>
        <v>乌力吉毕力格</v>
      </c>
      <c r="C61" s="1" t="str">
        <f>"男"</f>
        <v>男</v>
      </c>
      <c r="D61" s="1" t="str">
        <f t="shared" si="3"/>
        <v>蒙古族</v>
      </c>
      <c r="E61" s="1" t="str">
        <f>"15062070229"</f>
        <v>15062070229</v>
      </c>
      <c r="F61" s="1">
        <v>2</v>
      </c>
      <c r="G61" s="1">
        <v>29</v>
      </c>
      <c r="H61" s="5">
        <v>0</v>
      </c>
      <c r="I61" s="1">
        <v>0</v>
      </c>
      <c r="J61" s="1">
        <f t="shared" si="1"/>
        <v>0</v>
      </c>
    </row>
    <row r="62" spans="1:10">
      <c r="A62" s="1" t="s">
        <v>18</v>
      </c>
      <c r="B62" s="1" t="str">
        <f>"段娟"</f>
        <v>段娟</v>
      </c>
      <c r="C62" s="1" t="str">
        <f>"女"</f>
        <v>女</v>
      </c>
      <c r="D62" s="1" t="str">
        <f>"汉族"</f>
        <v>汉族</v>
      </c>
      <c r="E62" s="1" t="str">
        <f>"15062080301"</f>
        <v>15062080301</v>
      </c>
      <c r="F62" s="1">
        <v>3</v>
      </c>
      <c r="G62" s="1">
        <v>1</v>
      </c>
      <c r="H62" s="5">
        <v>0</v>
      </c>
      <c r="I62" s="1">
        <v>0</v>
      </c>
      <c r="J62" s="1">
        <f t="shared" si="1"/>
        <v>0</v>
      </c>
    </row>
    <row r="63" spans="1:10">
      <c r="A63" s="1" t="s">
        <v>18</v>
      </c>
      <c r="B63" s="1" t="str">
        <f>"郑彩霞"</f>
        <v>郑彩霞</v>
      </c>
      <c r="C63" s="1" t="str">
        <f>"女"</f>
        <v>女</v>
      </c>
      <c r="D63" s="1" t="str">
        <f>"蒙古族"</f>
        <v>蒙古族</v>
      </c>
      <c r="E63" s="1" t="str">
        <f>"15062080302"</f>
        <v>15062080302</v>
      </c>
      <c r="F63" s="1">
        <v>3</v>
      </c>
      <c r="G63" s="1">
        <v>2</v>
      </c>
      <c r="H63" s="5">
        <v>0</v>
      </c>
      <c r="I63" s="1">
        <v>0</v>
      </c>
      <c r="J63" s="1">
        <f t="shared" si="1"/>
        <v>0</v>
      </c>
    </row>
    <row r="64" spans="1:10">
      <c r="A64" s="1" t="s">
        <v>18</v>
      </c>
      <c r="B64" s="1" t="str">
        <f>"王远霆"</f>
        <v>王远霆</v>
      </c>
      <c r="C64" s="1" t="str">
        <f>"男"</f>
        <v>男</v>
      </c>
      <c r="D64" s="1" t="str">
        <f t="shared" ref="D64:D71" si="4">"汉族"</f>
        <v>汉族</v>
      </c>
      <c r="E64" s="1" t="str">
        <f>"15062080303"</f>
        <v>15062080303</v>
      </c>
      <c r="F64" s="1">
        <v>3</v>
      </c>
      <c r="G64" s="1">
        <v>3</v>
      </c>
      <c r="H64" s="5">
        <v>0</v>
      </c>
      <c r="I64" s="1">
        <v>0</v>
      </c>
      <c r="J64" s="1">
        <f t="shared" si="1"/>
        <v>0</v>
      </c>
    </row>
    <row r="65" spans="1:10">
      <c r="A65" s="1" t="s">
        <v>18</v>
      </c>
      <c r="B65" s="1" t="str">
        <f>"辛忠"</f>
        <v>辛忠</v>
      </c>
      <c r="C65" s="1" t="str">
        <f>"男"</f>
        <v>男</v>
      </c>
      <c r="D65" s="1" t="str">
        <f t="shared" si="4"/>
        <v>汉族</v>
      </c>
      <c r="E65" s="1" t="str">
        <f>"15062080304"</f>
        <v>15062080304</v>
      </c>
      <c r="F65" s="1">
        <v>3</v>
      </c>
      <c r="G65" s="1">
        <v>4</v>
      </c>
      <c r="H65" s="5">
        <v>50</v>
      </c>
      <c r="I65" s="1">
        <v>0</v>
      </c>
      <c r="J65" s="1">
        <f t="shared" si="1"/>
        <v>50</v>
      </c>
    </row>
    <row r="66" spans="1:10">
      <c r="A66" s="1" t="s">
        <v>18</v>
      </c>
      <c r="B66" s="1" t="str">
        <f>"王禄"</f>
        <v>王禄</v>
      </c>
      <c r="C66" s="1" t="str">
        <f>"男"</f>
        <v>男</v>
      </c>
      <c r="D66" s="1" t="str">
        <f t="shared" si="4"/>
        <v>汉族</v>
      </c>
      <c r="E66" s="1" t="str">
        <f>"15062080305"</f>
        <v>15062080305</v>
      </c>
      <c r="F66" s="1">
        <v>3</v>
      </c>
      <c r="G66" s="1">
        <v>5</v>
      </c>
      <c r="H66" s="5">
        <v>0</v>
      </c>
      <c r="I66" s="1">
        <v>0</v>
      </c>
      <c r="J66" s="1">
        <f t="shared" si="1"/>
        <v>0</v>
      </c>
    </row>
    <row r="67" spans="1:10">
      <c r="A67" s="1" t="s">
        <v>18</v>
      </c>
      <c r="B67" s="1" t="str">
        <f>"刘波"</f>
        <v>刘波</v>
      </c>
      <c r="C67" s="1" t="str">
        <f>"女"</f>
        <v>女</v>
      </c>
      <c r="D67" s="1" t="str">
        <f t="shared" si="4"/>
        <v>汉族</v>
      </c>
      <c r="E67" s="1" t="str">
        <f>"15062080306"</f>
        <v>15062080306</v>
      </c>
      <c r="F67" s="1">
        <v>3</v>
      </c>
      <c r="G67" s="1">
        <v>6</v>
      </c>
      <c r="H67" s="5">
        <v>59</v>
      </c>
      <c r="I67" s="1">
        <v>0</v>
      </c>
      <c r="J67" s="1">
        <f t="shared" ref="J67:J130" si="5">H67+I67</f>
        <v>59</v>
      </c>
    </row>
    <row r="68" spans="1:10">
      <c r="A68" s="1" t="s">
        <v>18</v>
      </c>
      <c r="B68" s="1" t="str">
        <f>"俞玲娟"</f>
        <v>俞玲娟</v>
      </c>
      <c r="C68" s="1" t="str">
        <f>"女"</f>
        <v>女</v>
      </c>
      <c r="D68" s="1" t="str">
        <f t="shared" si="4"/>
        <v>汉族</v>
      </c>
      <c r="E68" s="1" t="str">
        <f>"15062080307"</f>
        <v>15062080307</v>
      </c>
      <c r="F68" s="1">
        <v>3</v>
      </c>
      <c r="G68" s="1">
        <v>7</v>
      </c>
      <c r="H68" s="5">
        <v>0</v>
      </c>
      <c r="I68" s="1">
        <v>0</v>
      </c>
      <c r="J68" s="1">
        <f t="shared" si="5"/>
        <v>0</v>
      </c>
    </row>
    <row r="69" spans="1:10">
      <c r="A69" s="1" t="s">
        <v>18</v>
      </c>
      <c r="B69" s="1" t="str">
        <f>"亢新悦"</f>
        <v>亢新悦</v>
      </c>
      <c r="C69" s="1" t="str">
        <f>"女"</f>
        <v>女</v>
      </c>
      <c r="D69" s="1" t="str">
        <f t="shared" si="4"/>
        <v>汉族</v>
      </c>
      <c r="E69" s="1" t="str">
        <f>"15062080308"</f>
        <v>15062080308</v>
      </c>
      <c r="F69" s="1">
        <v>3</v>
      </c>
      <c r="G69" s="1">
        <v>8</v>
      </c>
      <c r="H69" s="5">
        <v>0</v>
      </c>
      <c r="I69" s="1">
        <v>0</v>
      </c>
      <c r="J69" s="1">
        <f t="shared" si="5"/>
        <v>0</v>
      </c>
    </row>
    <row r="70" spans="1:10">
      <c r="A70" s="1" t="s">
        <v>18</v>
      </c>
      <c r="B70" s="1" t="str">
        <f>"刘鹏"</f>
        <v>刘鹏</v>
      </c>
      <c r="C70" s="1" t="str">
        <f>"男"</f>
        <v>男</v>
      </c>
      <c r="D70" s="1" t="str">
        <f t="shared" si="4"/>
        <v>汉族</v>
      </c>
      <c r="E70" s="1" t="str">
        <f>"15062080309"</f>
        <v>15062080309</v>
      </c>
      <c r="F70" s="1">
        <v>3</v>
      </c>
      <c r="G70" s="1">
        <v>9</v>
      </c>
      <c r="H70" s="5">
        <v>0</v>
      </c>
      <c r="I70" s="1">
        <v>0</v>
      </c>
      <c r="J70" s="1">
        <f t="shared" si="5"/>
        <v>0</v>
      </c>
    </row>
    <row r="71" spans="1:10">
      <c r="A71" s="1" t="s">
        <v>18</v>
      </c>
      <c r="B71" s="1" t="str">
        <f>"赵雅楠"</f>
        <v>赵雅楠</v>
      </c>
      <c r="C71" s="1" t="str">
        <f>"女"</f>
        <v>女</v>
      </c>
      <c r="D71" s="1" t="str">
        <f t="shared" si="4"/>
        <v>汉族</v>
      </c>
      <c r="E71" s="1" t="str">
        <f>"15062080310"</f>
        <v>15062080310</v>
      </c>
      <c r="F71" s="1">
        <v>3</v>
      </c>
      <c r="G71" s="1">
        <v>10</v>
      </c>
      <c r="H71" s="5">
        <v>53</v>
      </c>
      <c r="I71" s="1">
        <v>0</v>
      </c>
      <c r="J71" s="1">
        <f t="shared" si="5"/>
        <v>53</v>
      </c>
    </row>
    <row r="72" spans="1:10">
      <c r="A72" s="1" t="s">
        <v>19</v>
      </c>
      <c r="B72" s="1" t="str">
        <f>"莫日根布拉格"</f>
        <v>莫日根布拉格</v>
      </c>
      <c r="C72" s="1" t="str">
        <f>"男"</f>
        <v>男</v>
      </c>
      <c r="D72" s="1" t="str">
        <f>"蒙古族"</f>
        <v>蒙古族</v>
      </c>
      <c r="E72" s="1" t="str">
        <f>"15062090311"</f>
        <v>15062090311</v>
      </c>
      <c r="F72" s="1">
        <v>3</v>
      </c>
      <c r="G72" s="1">
        <v>11</v>
      </c>
      <c r="H72" s="5">
        <v>35</v>
      </c>
      <c r="I72" s="1">
        <v>2.5</v>
      </c>
      <c r="J72" s="1">
        <f t="shared" si="5"/>
        <v>37.5</v>
      </c>
    </row>
    <row r="73" spans="1:10">
      <c r="A73" s="1" t="s">
        <v>19</v>
      </c>
      <c r="B73" s="1" t="str">
        <f>"王阿润"</f>
        <v>王阿润</v>
      </c>
      <c r="C73" s="1" t="str">
        <f>"男"</f>
        <v>男</v>
      </c>
      <c r="D73" s="1" t="str">
        <f>"蒙古族"</f>
        <v>蒙古族</v>
      </c>
      <c r="E73" s="1" t="str">
        <f>"15062090312"</f>
        <v>15062090312</v>
      </c>
      <c r="F73" s="1">
        <v>3</v>
      </c>
      <c r="G73" s="1">
        <v>12</v>
      </c>
      <c r="H73" s="5">
        <v>47</v>
      </c>
      <c r="I73" s="1">
        <v>2.5</v>
      </c>
      <c r="J73" s="1">
        <f t="shared" si="5"/>
        <v>49.5</v>
      </c>
    </row>
    <row r="74" spans="1:10">
      <c r="A74" s="1" t="s">
        <v>20</v>
      </c>
      <c r="B74" s="1" t="str">
        <f>"满都拉"</f>
        <v>满都拉</v>
      </c>
      <c r="C74" s="1" t="str">
        <f>"男"</f>
        <v>男</v>
      </c>
      <c r="D74" s="1" t="str">
        <f>"蒙古族"</f>
        <v>蒙古族</v>
      </c>
      <c r="E74" s="1" t="str">
        <f>"15062101701"</f>
        <v>15062101701</v>
      </c>
      <c r="F74" s="1">
        <v>17</v>
      </c>
      <c r="G74" s="1">
        <v>1</v>
      </c>
      <c r="H74" s="1">
        <v>60</v>
      </c>
      <c r="I74" s="1">
        <v>2.5</v>
      </c>
      <c r="J74" s="1">
        <f t="shared" si="5"/>
        <v>62.5</v>
      </c>
    </row>
    <row r="75" spans="1:10">
      <c r="A75" s="1" t="s">
        <v>20</v>
      </c>
      <c r="B75" s="1" t="str">
        <f>"瓦其那顺"</f>
        <v>瓦其那顺</v>
      </c>
      <c r="C75" s="1" t="str">
        <f>"男"</f>
        <v>男</v>
      </c>
      <c r="D75" s="1" t="str">
        <f>"蒙古族"</f>
        <v>蒙古族</v>
      </c>
      <c r="E75" s="1" t="str">
        <f>"15062101702"</f>
        <v>15062101702</v>
      </c>
      <c r="F75" s="1">
        <v>17</v>
      </c>
      <c r="G75" s="1">
        <v>2</v>
      </c>
      <c r="H75" s="1">
        <v>53</v>
      </c>
      <c r="I75" s="1">
        <v>2.5</v>
      </c>
      <c r="J75" s="1">
        <f t="shared" si="5"/>
        <v>55.5</v>
      </c>
    </row>
    <row r="76" spans="1:10">
      <c r="A76" s="1" t="s">
        <v>20</v>
      </c>
      <c r="B76" s="1" t="str">
        <f>"德力海"</f>
        <v>德力海</v>
      </c>
      <c r="C76" s="1" t="str">
        <f>"女"</f>
        <v>女</v>
      </c>
      <c r="D76" s="1" t="str">
        <f>"蒙古族"</f>
        <v>蒙古族</v>
      </c>
      <c r="E76" s="1" t="str">
        <f>"15062101703"</f>
        <v>15062101703</v>
      </c>
      <c r="F76" s="1">
        <v>17</v>
      </c>
      <c r="G76" s="1">
        <v>3</v>
      </c>
      <c r="H76" s="1">
        <v>66</v>
      </c>
      <c r="I76" s="1">
        <v>2.5</v>
      </c>
      <c r="J76" s="1">
        <f t="shared" si="5"/>
        <v>68.5</v>
      </c>
    </row>
    <row r="77" spans="1:10">
      <c r="A77" s="1" t="s">
        <v>21</v>
      </c>
      <c r="B77" s="1" t="str">
        <f>"刘亚星"</f>
        <v>刘亚星</v>
      </c>
      <c r="C77" s="1" t="str">
        <f>"女"</f>
        <v>女</v>
      </c>
      <c r="D77" s="1" t="str">
        <f>"汉族"</f>
        <v>汉族</v>
      </c>
      <c r="E77" s="1" t="str">
        <f>"15062110401"</f>
        <v>15062110401</v>
      </c>
      <c r="F77" s="1">
        <v>4</v>
      </c>
      <c r="G77" s="1">
        <v>1</v>
      </c>
      <c r="H77" s="5">
        <v>57</v>
      </c>
      <c r="I77" s="1">
        <v>0</v>
      </c>
      <c r="J77" s="1">
        <f t="shared" si="5"/>
        <v>57</v>
      </c>
    </row>
    <row r="78" spans="1:10">
      <c r="A78" s="1" t="s">
        <v>21</v>
      </c>
      <c r="B78" s="1" t="str">
        <f>"郭焱"</f>
        <v>郭焱</v>
      </c>
      <c r="C78" s="1" t="str">
        <f>"女"</f>
        <v>女</v>
      </c>
      <c r="D78" s="1" t="str">
        <f>"汉族"</f>
        <v>汉族</v>
      </c>
      <c r="E78" s="1" t="str">
        <f>"15062110402"</f>
        <v>15062110402</v>
      </c>
      <c r="F78" s="1">
        <v>4</v>
      </c>
      <c r="G78" s="1">
        <v>2</v>
      </c>
      <c r="H78" s="5">
        <v>0</v>
      </c>
      <c r="I78" s="1">
        <v>0</v>
      </c>
      <c r="J78" s="1">
        <f t="shared" si="5"/>
        <v>0</v>
      </c>
    </row>
    <row r="79" spans="1:10">
      <c r="A79" s="1" t="s">
        <v>21</v>
      </c>
      <c r="B79" s="1" t="str">
        <f>"庆达根"</f>
        <v>庆达根</v>
      </c>
      <c r="C79" s="1" t="str">
        <f>"女"</f>
        <v>女</v>
      </c>
      <c r="D79" s="1" t="str">
        <f>"蒙古族"</f>
        <v>蒙古族</v>
      </c>
      <c r="E79" s="1" t="str">
        <f>"15062110403"</f>
        <v>15062110403</v>
      </c>
      <c r="F79" s="1">
        <v>4</v>
      </c>
      <c r="G79" s="1">
        <v>3</v>
      </c>
      <c r="H79" s="5">
        <v>78</v>
      </c>
      <c r="I79" s="1">
        <v>2.5</v>
      </c>
      <c r="J79" s="1">
        <f t="shared" si="5"/>
        <v>80.5</v>
      </c>
    </row>
    <row r="80" spans="1:10">
      <c r="A80" s="1" t="s">
        <v>21</v>
      </c>
      <c r="B80" s="1" t="str">
        <f>"赵玉喜"</f>
        <v>赵玉喜</v>
      </c>
      <c r="C80" s="1" t="str">
        <f>"男"</f>
        <v>男</v>
      </c>
      <c r="D80" s="1" t="str">
        <f>"汉族"</f>
        <v>汉族</v>
      </c>
      <c r="E80" s="1" t="str">
        <f>"15062110404"</f>
        <v>15062110404</v>
      </c>
      <c r="F80" s="1">
        <v>4</v>
      </c>
      <c r="G80" s="1">
        <v>4</v>
      </c>
      <c r="H80" s="5">
        <v>60</v>
      </c>
      <c r="I80" s="1">
        <v>0</v>
      </c>
      <c r="J80" s="1">
        <f t="shared" si="5"/>
        <v>60</v>
      </c>
    </row>
    <row r="81" spans="1:10">
      <c r="A81" s="1" t="s">
        <v>21</v>
      </c>
      <c r="B81" s="1" t="str">
        <f>"郭菲雯"</f>
        <v>郭菲雯</v>
      </c>
      <c r="C81" s="1" t="str">
        <f>"女"</f>
        <v>女</v>
      </c>
      <c r="D81" s="1" t="str">
        <f>"汉族"</f>
        <v>汉族</v>
      </c>
      <c r="E81" s="1" t="str">
        <f>"15062110405"</f>
        <v>15062110405</v>
      </c>
      <c r="F81" s="1">
        <v>4</v>
      </c>
      <c r="G81" s="1">
        <v>5</v>
      </c>
      <c r="H81" s="5">
        <v>57</v>
      </c>
      <c r="I81" s="1">
        <v>0</v>
      </c>
      <c r="J81" s="1">
        <f t="shared" si="5"/>
        <v>57</v>
      </c>
    </row>
    <row r="82" spans="1:10">
      <c r="A82" s="1" t="s">
        <v>21</v>
      </c>
      <c r="B82" s="1" t="str">
        <f>"郝娜"</f>
        <v>郝娜</v>
      </c>
      <c r="C82" s="1" t="str">
        <f>"女"</f>
        <v>女</v>
      </c>
      <c r="D82" s="1" t="str">
        <f>"蒙古族"</f>
        <v>蒙古族</v>
      </c>
      <c r="E82" s="1" t="str">
        <f>"15062110406"</f>
        <v>15062110406</v>
      </c>
      <c r="F82" s="1">
        <v>4</v>
      </c>
      <c r="G82" s="1">
        <v>6</v>
      </c>
      <c r="H82" s="5">
        <v>63</v>
      </c>
      <c r="I82" s="1">
        <v>2.5</v>
      </c>
      <c r="J82" s="1">
        <f t="shared" si="5"/>
        <v>65.5</v>
      </c>
    </row>
    <row r="83" spans="1:10">
      <c r="A83" s="1" t="s">
        <v>21</v>
      </c>
      <c r="B83" s="1" t="str">
        <f>"吕佳峰"</f>
        <v>吕佳峰</v>
      </c>
      <c r="C83" s="1" t="str">
        <f>"男"</f>
        <v>男</v>
      </c>
      <c r="D83" s="1" t="str">
        <f t="shared" ref="D83:D88" si="6">"汉族"</f>
        <v>汉族</v>
      </c>
      <c r="E83" s="1" t="str">
        <f>"15062110407"</f>
        <v>15062110407</v>
      </c>
      <c r="F83" s="1">
        <v>4</v>
      </c>
      <c r="G83" s="1">
        <v>7</v>
      </c>
      <c r="H83" s="5">
        <v>59</v>
      </c>
      <c r="I83" s="1">
        <v>0</v>
      </c>
      <c r="J83" s="1">
        <f t="shared" si="5"/>
        <v>59</v>
      </c>
    </row>
    <row r="84" spans="1:10">
      <c r="A84" s="1" t="s">
        <v>21</v>
      </c>
      <c r="B84" s="1" t="str">
        <f>"李红"</f>
        <v>李红</v>
      </c>
      <c r="C84" s="1" t="str">
        <f>"女"</f>
        <v>女</v>
      </c>
      <c r="D84" s="1" t="str">
        <f t="shared" si="6"/>
        <v>汉族</v>
      </c>
      <c r="E84" s="1" t="str">
        <f>"15062110408"</f>
        <v>15062110408</v>
      </c>
      <c r="F84" s="1">
        <v>4</v>
      </c>
      <c r="G84" s="1">
        <v>8</v>
      </c>
      <c r="H84" s="5">
        <v>58</v>
      </c>
      <c r="I84" s="1">
        <v>0</v>
      </c>
      <c r="J84" s="1">
        <f t="shared" si="5"/>
        <v>58</v>
      </c>
    </row>
    <row r="85" spans="1:10">
      <c r="A85" s="1" t="s">
        <v>22</v>
      </c>
      <c r="B85" s="1" t="str">
        <f>"李清"</f>
        <v>李清</v>
      </c>
      <c r="C85" s="1" t="str">
        <f>"女"</f>
        <v>女</v>
      </c>
      <c r="D85" s="1" t="str">
        <f t="shared" si="6"/>
        <v>汉族</v>
      </c>
      <c r="E85" s="1" t="str">
        <f>"15062120501"</f>
        <v>15062120501</v>
      </c>
      <c r="F85" s="1">
        <v>5</v>
      </c>
      <c r="G85" s="1">
        <v>1</v>
      </c>
      <c r="H85" s="5">
        <v>0</v>
      </c>
      <c r="I85" s="1">
        <v>0</v>
      </c>
      <c r="J85" s="1">
        <f t="shared" si="5"/>
        <v>0</v>
      </c>
    </row>
    <row r="86" spans="1:10">
      <c r="A86" s="1" t="s">
        <v>22</v>
      </c>
      <c r="B86" s="1" t="str">
        <f>"刘俐君"</f>
        <v>刘俐君</v>
      </c>
      <c r="C86" s="1" t="str">
        <f>"女"</f>
        <v>女</v>
      </c>
      <c r="D86" s="1" t="str">
        <f t="shared" si="6"/>
        <v>汉族</v>
      </c>
      <c r="E86" s="1" t="str">
        <f>"15062120502"</f>
        <v>15062120502</v>
      </c>
      <c r="F86" s="1">
        <v>5</v>
      </c>
      <c r="G86" s="1">
        <v>2</v>
      </c>
      <c r="H86" s="5">
        <v>0</v>
      </c>
      <c r="I86" s="1">
        <v>0</v>
      </c>
      <c r="J86" s="1">
        <f t="shared" si="5"/>
        <v>0</v>
      </c>
    </row>
    <row r="87" spans="1:10">
      <c r="A87" s="1" t="s">
        <v>22</v>
      </c>
      <c r="B87" s="1" t="str">
        <f>"解华栋"</f>
        <v>解华栋</v>
      </c>
      <c r="C87" s="1" t="str">
        <f>"男"</f>
        <v>男</v>
      </c>
      <c r="D87" s="1" t="str">
        <f t="shared" si="6"/>
        <v>汉族</v>
      </c>
      <c r="E87" s="1" t="str">
        <f>"15062120503"</f>
        <v>15062120503</v>
      </c>
      <c r="F87" s="1">
        <v>5</v>
      </c>
      <c r="G87" s="1">
        <v>3</v>
      </c>
      <c r="H87" s="5">
        <v>0</v>
      </c>
      <c r="I87" s="1">
        <v>0</v>
      </c>
      <c r="J87" s="1">
        <f t="shared" si="5"/>
        <v>0</v>
      </c>
    </row>
    <row r="88" spans="1:10">
      <c r="A88" s="1" t="s">
        <v>22</v>
      </c>
      <c r="B88" s="1" t="str">
        <f>"王亚茹"</f>
        <v>王亚茹</v>
      </c>
      <c r="C88" s="1" t="str">
        <f t="shared" ref="C88:C100" si="7">"女"</f>
        <v>女</v>
      </c>
      <c r="D88" s="1" t="str">
        <f t="shared" si="6"/>
        <v>汉族</v>
      </c>
      <c r="E88" s="1" t="str">
        <f>"15062120504"</f>
        <v>15062120504</v>
      </c>
      <c r="F88" s="1">
        <v>5</v>
      </c>
      <c r="G88" s="1">
        <v>4</v>
      </c>
      <c r="H88" s="5">
        <v>76</v>
      </c>
      <c r="I88" s="1">
        <v>0</v>
      </c>
      <c r="J88" s="1">
        <f t="shared" si="5"/>
        <v>76</v>
      </c>
    </row>
    <row r="89" spans="1:10">
      <c r="A89" s="1" t="s">
        <v>22</v>
      </c>
      <c r="B89" s="1" t="str">
        <f>"塔娜"</f>
        <v>塔娜</v>
      </c>
      <c r="C89" s="1" t="str">
        <f t="shared" si="7"/>
        <v>女</v>
      </c>
      <c r="D89" s="1" t="str">
        <f>"蒙古族"</f>
        <v>蒙古族</v>
      </c>
      <c r="E89" s="1" t="str">
        <f>"15062120505"</f>
        <v>15062120505</v>
      </c>
      <c r="F89" s="1">
        <v>5</v>
      </c>
      <c r="G89" s="1">
        <v>5</v>
      </c>
      <c r="H89" s="5">
        <v>59</v>
      </c>
      <c r="I89" s="1">
        <v>2.5</v>
      </c>
      <c r="J89" s="1">
        <f t="shared" si="5"/>
        <v>61.5</v>
      </c>
    </row>
    <row r="90" spans="1:10">
      <c r="A90" s="1" t="s">
        <v>22</v>
      </c>
      <c r="B90" s="1" t="str">
        <f>"张浩洁"</f>
        <v>张浩洁</v>
      </c>
      <c r="C90" s="1" t="str">
        <f t="shared" si="7"/>
        <v>女</v>
      </c>
      <c r="D90" s="1" t="str">
        <f t="shared" ref="D90:D97" si="8">"汉族"</f>
        <v>汉族</v>
      </c>
      <c r="E90" s="1" t="str">
        <f>"15062120506"</f>
        <v>15062120506</v>
      </c>
      <c r="F90" s="1">
        <v>5</v>
      </c>
      <c r="G90" s="1">
        <v>6</v>
      </c>
      <c r="H90" s="5">
        <v>0</v>
      </c>
      <c r="I90" s="1">
        <v>0</v>
      </c>
      <c r="J90" s="1">
        <f t="shared" si="5"/>
        <v>0</v>
      </c>
    </row>
    <row r="91" spans="1:10">
      <c r="A91" s="1" t="s">
        <v>22</v>
      </c>
      <c r="B91" s="1" t="str">
        <f>"赵蓉"</f>
        <v>赵蓉</v>
      </c>
      <c r="C91" s="1" t="str">
        <f t="shared" si="7"/>
        <v>女</v>
      </c>
      <c r="D91" s="1" t="str">
        <f t="shared" si="8"/>
        <v>汉族</v>
      </c>
      <c r="E91" s="1" t="str">
        <f>"15062120507"</f>
        <v>15062120507</v>
      </c>
      <c r="F91" s="1">
        <v>5</v>
      </c>
      <c r="G91" s="1">
        <v>7</v>
      </c>
      <c r="H91" s="5">
        <v>0</v>
      </c>
      <c r="I91" s="1">
        <v>0</v>
      </c>
      <c r="J91" s="1">
        <f t="shared" si="5"/>
        <v>0</v>
      </c>
    </row>
    <row r="92" spans="1:10">
      <c r="A92" s="1" t="s">
        <v>22</v>
      </c>
      <c r="B92" s="1" t="str">
        <f>"刘凤霞"</f>
        <v>刘凤霞</v>
      </c>
      <c r="C92" s="1" t="str">
        <f t="shared" si="7"/>
        <v>女</v>
      </c>
      <c r="D92" s="1" t="str">
        <f t="shared" si="8"/>
        <v>汉族</v>
      </c>
      <c r="E92" s="1" t="str">
        <f>"15062120508"</f>
        <v>15062120508</v>
      </c>
      <c r="F92" s="1">
        <v>5</v>
      </c>
      <c r="G92" s="1">
        <v>8</v>
      </c>
      <c r="H92" s="5">
        <v>49.5</v>
      </c>
      <c r="I92" s="1">
        <v>0</v>
      </c>
      <c r="J92" s="1">
        <f t="shared" si="5"/>
        <v>49.5</v>
      </c>
    </row>
    <row r="93" spans="1:10">
      <c r="A93" s="1" t="s">
        <v>22</v>
      </c>
      <c r="B93" s="1" t="str">
        <f>"王美凤"</f>
        <v>王美凤</v>
      </c>
      <c r="C93" s="1" t="str">
        <f t="shared" si="7"/>
        <v>女</v>
      </c>
      <c r="D93" s="1" t="str">
        <f t="shared" si="8"/>
        <v>汉族</v>
      </c>
      <c r="E93" s="1" t="str">
        <f>"15062120509"</f>
        <v>15062120509</v>
      </c>
      <c r="F93" s="1">
        <v>5</v>
      </c>
      <c r="G93" s="1">
        <v>9</v>
      </c>
      <c r="H93" s="5">
        <v>65</v>
      </c>
      <c r="I93" s="1">
        <v>0</v>
      </c>
      <c r="J93" s="1">
        <f t="shared" si="5"/>
        <v>65</v>
      </c>
    </row>
    <row r="94" spans="1:10">
      <c r="A94" s="1" t="s">
        <v>22</v>
      </c>
      <c r="B94" s="1" t="str">
        <f>"张珍珍"</f>
        <v>张珍珍</v>
      </c>
      <c r="C94" s="1" t="str">
        <f t="shared" si="7"/>
        <v>女</v>
      </c>
      <c r="D94" s="1" t="str">
        <f t="shared" si="8"/>
        <v>汉族</v>
      </c>
      <c r="E94" s="1" t="str">
        <f>"15062120510"</f>
        <v>15062120510</v>
      </c>
      <c r="F94" s="1">
        <v>5</v>
      </c>
      <c r="G94" s="1">
        <v>10</v>
      </c>
      <c r="H94" s="5">
        <v>49</v>
      </c>
      <c r="I94" s="1">
        <v>0</v>
      </c>
      <c r="J94" s="1">
        <f t="shared" si="5"/>
        <v>49</v>
      </c>
    </row>
    <row r="95" spans="1:10">
      <c r="A95" s="1" t="s">
        <v>22</v>
      </c>
      <c r="B95" s="1" t="str">
        <f>"贺学梅"</f>
        <v>贺学梅</v>
      </c>
      <c r="C95" s="1" t="str">
        <f t="shared" si="7"/>
        <v>女</v>
      </c>
      <c r="D95" s="1" t="str">
        <f t="shared" si="8"/>
        <v>汉族</v>
      </c>
      <c r="E95" s="1" t="str">
        <f>"15062120511"</f>
        <v>15062120511</v>
      </c>
      <c r="F95" s="1">
        <v>5</v>
      </c>
      <c r="G95" s="1">
        <v>11</v>
      </c>
      <c r="H95" s="5">
        <v>0</v>
      </c>
      <c r="I95" s="1">
        <v>0</v>
      </c>
      <c r="J95" s="1">
        <f t="shared" si="5"/>
        <v>0</v>
      </c>
    </row>
    <row r="96" spans="1:10">
      <c r="A96" s="1" t="s">
        <v>22</v>
      </c>
      <c r="B96" s="1" t="str">
        <f>"刘燕"</f>
        <v>刘燕</v>
      </c>
      <c r="C96" s="1" t="str">
        <f t="shared" si="7"/>
        <v>女</v>
      </c>
      <c r="D96" s="1" t="str">
        <f t="shared" si="8"/>
        <v>汉族</v>
      </c>
      <c r="E96" s="1" t="str">
        <f>"15062120512"</f>
        <v>15062120512</v>
      </c>
      <c r="F96" s="1">
        <v>5</v>
      </c>
      <c r="G96" s="1">
        <v>12</v>
      </c>
      <c r="H96" s="5">
        <v>0</v>
      </c>
      <c r="I96" s="1">
        <v>0</v>
      </c>
      <c r="J96" s="1">
        <f t="shared" si="5"/>
        <v>0</v>
      </c>
    </row>
    <row r="97" spans="1:10">
      <c r="A97" s="1" t="s">
        <v>22</v>
      </c>
      <c r="B97" s="1" t="str">
        <f>"王晶晶"</f>
        <v>王晶晶</v>
      </c>
      <c r="C97" s="1" t="str">
        <f t="shared" si="7"/>
        <v>女</v>
      </c>
      <c r="D97" s="1" t="str">
        <f t="shared" si="8"/>
        <v>汉族</v>
      </c>
      <c r="E97" s="1" t="str">
        <f>"15062120513"</f>
        <v>15062120513</v>
      </c>
      <c r="F97" s="1">
        <v>5</v>
      </c>
      <c r="G97" s="1">
        <v>13</v>
      </c>
      <c r="H97" s="5">
        <v>61.5</v>
      </c>
      <c r="I97" s="1">
        <v>0</v>
      </c>
      <c r="J97" s="1">
        <f t="shared" si="5"/>
        <v>61.5</v>
      </c>
    </row>
    <row r="98" spans="1:10">
      <c r="A98" s="1" t="s">
        <v>22</v>
      </c>
      <c r="B98" s="1" t="str">
        <f>"赞巴嘎"</f>
        <v>赞巴嘎</v>
      </c>
      <c r="C98" s="1" t="str">
        <f t="shared" si="7"/>
        <v>女</v>
      </c>
      <c r="D98" s="1" t="str">
        <f>"蒙古族"</f>
        <v>蒙古族</v>
      </c>
      <c r="E98" s="1" t="str">
        <f>"15062120514"</f>
        <v>15062120514</v>
      </c>
      <c r="F98" s="1">
        <v>5</v>
      </c>
      <c r="G98" s="1">
        <v>14</v>
      </c>
      <c r="H98" s="5">
        <v>44</v>
      </c>
      <c r="I98" s="1">
        <v>2.5</v>
      </c>
      <c r="J98" s="1">
        <f t="shared" si="5"/>
        <v>46.5</v>
      </c>
    </row>
    <row r="99" spans="1:10">
      <c r="A99" s="1" t="s">
        <v>22</v>
      </c>
      <c r="B99" s="1" t="str">
        <f>"方媛"</f>
        <v>方媛</v>
      </c>
      <c r="C99" s="1" t="str">
        <f t="shared" si="7"/>
        <v>女</v>
      </c>
      <c r="D99" s="1" t="str">
        <f>"蒙古族"</f>
        <v>蒙古族</v>
      </c>
      <c r="E99" s="1" t="str">
        <f>"15062120515"</f>
        <v>15062120515</v>
      </c>
      <c r="F99" s="1">
        <v>5</v>
      </c>
      <c r="G99" s="1">
        <v>15</v>
      </c>
      <c r="H99" s="5">
        <v>79</v>
      </c>
      <c r="I99" s="1">
        <v>2.5</v>
      </c>
      <c r="J99" s="1">
        <f t="shared" si="5"/>
        <v>81.5</v>
      </c>
    </row>
    <row r="100" spans="1:10">
      <c r="A100" s="1" t="s">
        <v>22</v>
      </c>
      <c r="B100" s="1" t="str">
        <f>"王昊宇"</f>
        <v>王昊宇</v>
      </c>
      <c r="C100" s="1" t="str">
        <f t="shared" si="7"/>
        <v>女</v>
      </c>
      <c r="D100" s="1" t="str">
        <f t="shared" ref="D100:D112" si="9">"汉族"</f>
        <v>汉族</v>
      </c>
      <c r="E100" s="1" t="str">
        <f>"15062120516"</f>
        <v>15062120516</v>
      </c>
      <c r="F100" s="1">
        <v>5</v>
      </c>
      <c r="G100" s="1">
        <v>16</v>
      </c>
      <c r="H100" s="5">
        <v>47</v>
      </c>
      <c r="I100" s="1">
        <v>0</v>
      </c>
      <c r="J100" s="1">
        <f t="shared" si="5"/>
        <v>47</v>
      </c>
    </row>
    <row r="101" spans="1:10">
      <c r="A101" s="1" t="s">
        <v>22</v>
      </c>
      <c r="B101" s="1" t="str">
        <f>"刘帅"</f>
        <v>刘帅</v>
      </c>
      <c r="C101" s="1" t="str">
        <f>"男"</f>
        <v>男</v>
      </c>
      <c r="D101" s="1" t="str">
        <f t="shared" si="9"/>
        <v>汉族</v>
      </c>
      <c r="E101" s="1" t="str">
        <f>"15062120517"</f>
        <v>15062120517</v>
      </c>
      <c r="F101" s="1">
        <v>5</v>
      </c>
      <c r="G101" s="1">
        <v>17</v>
      </c>
      <c r="H101" s="5">
        <v>59.5</v>
      </c>
      <c r="I101" s="1">
        <v>0</v>
      </c>
      <c r="J101" s="1">
        <f t="shared" si="5"/>
        <v>59.5</v>
      </c>
    </row>
    <row r="102" spans="1:10">
      <c r="A102" s="1" t="s">
        <v>22</v>
      </c>
      <c r="B102" s="1" t="str">
        <f>"王红霞"</f>
        <v>王红霞</v>
      </c>
      <c r="C102" s="1" t="str">
        <f>"女"</f>
        <v>女</v>
      </c>
      <c r="D102" s="1" t="str">
        <f t="shared" si="9"/>
        <v>汉族</v>
      </c>
      <c r="E102" s="1" t="str">
        <f>"15062120518"</f>
        <v>15062120518</v>
      </c>
      <c r="F102" s="1">
        <v>5</v>
      </c>
      <c r="G102" s="1">
        <v>18</v>
      </c>
      <c r="H102" s="5">
        <v>0</v>
      </c>
      <c r="I102" s="1">
        <v>0</v>
      </c>
      <c r="J102" s="1">
        <f t="shared" si="5"/>
        <v>0</v>
      </c>
    </row>
    <row r="103" spans="1:10">
      <c r="A103" s="1" t="s">
        <v>22</v>
      </c>
      <c r="B103" s="1" t="str">
        <f>"陈静"</f>
        <v>陈静</v>
      </c>
      <c r="C103" s="1" t="str">
        <f>"女"</f>
        <v>女</v>
      </c>
      <c r="D103" s="1" t="str">
        <f t="shared" si="9"/>
        <v>汉族</v>
      </c>
      <c r="E103" s="1" t="str">
        <f>"15062120519"</f>
        <v>15062120519</v>
      </c>
      <c r="F103" s="1">
        <v>5</v>
      </c>
      <c r="G103" s="1">
        <v>19</v>
      </c>
      <c r="H103" s="5">
        <v>0</v>
      </c>
      <c r="I103" s="1">
        <v>0</v>
      </c>
      <c r="J103" s="1">
        <f t="shared" si="5"/>
        <v>0</v>
      </c>
    </row>
    <row r="104" spans="1:10">
      <c r="A104" s="1" t="s">
        <v>22</v>
      </c>
      <c r="B104" s="1" t="str">
        <f>"张添欣"</f>
        <v>张添欣</v>
      </c>
      <c r="C104" s="1" t="str">
        <f>"女"</f>
        <v>女</v>
      </c>
      <c r="D104" s="1" t="str">
        <f t="shared" si="9"/>
        <v>汉族</v>
      </c>
      <c r="E104" s="1" t="str">
        <f>"15062120520"</f>
        <v>15062120520</v>
      </c>
      <c r="F104" s="1">
        <v>5</v>
      </c>
      <c r="G104" s="1">
        <v>20</v>
      </c>
      <c r="H104" s="5">
        <v>62</v>
      </c>
      <c r="I104" s="1">
        <v>0</v>
      </c>
      <c r="J104" s="1">
        <f t="shared" si="5"/>
        <v>62</v>
      </c>
    </row>
    <row r="105" spans="1:10">
      <c r="A105" s="1" t="s">
        <v>22</v>
      </c>
      <c r="B105" s="1" t="str">
        <f>"李璇"</f>
        <v>李璇</v>
      </c>
      <c r="C105" s="1" t="str">
        <f>"男"</f>
        <v>男</v>
      </c>
      <c r="D105" s="1" t="str">
        <f t="shared" si="9"/>
        <v>汉族</v>
      </c>
      <c r="E105" s="1" t="str">
        <f>"15062120521"</f>
        <v>15062120521</v>
      </c>
      <c r="F105" s="1">
        <v>5</v>
      </c>
      <c r="G105" s="1">
        <v>21</v>
      </c>
      <c r="H105" s="5">
        <v>49.5</v>
      </c>
      <c r="I105" s="1">
        <v>0</v>
      </c>
      <c r="J105" s="1">
        <f t="shared" si="5"/>
        <v>49.5</v>
      </c>
    </row>
    <row r="106" spans="1:10">
      <c r="A106" s="1" t="s">
        <v>22</v>
      </c>
      <c r="B106" s="1" t="str">
        <f>"韩燕"</f>
        <v>韩燕</v>
      </c>
      <c r="C106" s="1" t="str">
        <f>"女"</f>
        <v>女</v>
      </c>
      <c r="D106" s="1" t="str">
        <f t="shared" si="9"/>
        <v>汉族</v>
      </c>
      <c r="E106" s="1" t="str">
        <f>"15062120522"</f>
        <v>15062120522</v>
      </c>
      <c r="F106" s="1">
        <v>5</v>
      </c>
      <c r="G106" s="1">
        <v>22</v>
      </c>
      <c r="H106" s="5">
        <v>65</v>
      </c>
      <c r="I106" s="1">
        <v>0</v>
      </c>
      <c r="J106" s="1">
        <f t="shared" si="5"/>
        <v>65</v>
      </c>
    </row>
    <row r="107" spans="1:10">
      <c r="A107" s="1" t="s">
        <v>22</v>
      </c>
      <c r="B107" s="1" t="str">
        <f>"安阳"</f>
        <v>安阳</v>
      </c>
      <c r="C107" s="1" t="str">
        <f>"女"</f>
        <v>女</v>
      </c>
      <c r="D107" s="1" t="str">
        <f t="shared" si="9"/>
        <v>汉族</v>
      </c>
      <c r="E107" s="1" t="str">
        <f>"15062120523"</f>
        <v>15062120523</v>
      </c>
      <c r="F107" s="1">
        <v>5</v>
      </c>
      <c r="G107" s="1">
        <v>23</v>
      </c>
      <c r="H107" s="5">
        <v>63.5</v>
      </c>
      <c r="I107" s="1">
        <v>0</v>
      </c>
      <c r="J107" s="1">
        <f t="shared" si="5"/>
        <v>63.5</v>
      </c>
    </row>
    <row r="108" spans="1:10">
      <c r="A108" s="1" t="s">
        <v>22</v>
      </c>
      <c r="B108" s="1" t="str">
        <f>"刘巧玲"</f>
        <v>刘巧玲</v>
      </c>
      <c r="C108" s="1" t="str">
        <f>"女"</f>
        <v>女</v>
      </c>
      <c r="D108" s="1" t="str">
        <f t="shared" si="9"/>
        <v>汉族</v>
      </c>
      <c r="E108" s="1" t="str">
        <f>"15062120524"</f>
        <v>15062120524</v>
      </c>
      <c r="F108" s="1">
        <v>5</v>
      </c>
      <c r="G108" s="1">
        <v>24</v>
      </c>
      <c r="H108" s="5">
        <v>0</v>
      </c>
      <c r="I108" s="1">
        <v>0</v>
      </c>
      <c r="J108" s="1">
        <f t="shared" si="5"/>
        <v>0</v>
      </c>
    </row>
    <row r="109" spans="1:10">
      <c r="A109" s="1" t="s">
        <v>22</v>
      </c>
      <c r="B109" s="1" t="str">
        <f>"赵元"</f>
        <v>赵元</v>
      </c>
      <c r="C109" s="1" t="str">
        <f>"男"</f>
        <v>男</v>
      </c>
      <c r="D109" s="1" t="str">
        <f t="shared" si="9"/>
        <v>汉族</v>
      </c>
      <c r="E109" s="1" t="str">
        <f>"15062120525"</f>
        <v>15062120525</v>
      </c>
      <c r="F109" s="1">
        <v>5</v>
      </c>
      <c r="G109" s="1">
        <v>25</v>
      </c>
      <c r="H109" s="5">
        <v>0</v>
      </c>
      <c r="I109" s="1">
        <v>0</v>
      </c>
      <c r="J109" s="1">
        <f t="shared" si="5"/>
        <v>0</v>
      </c>
    </row>
    <row r="110" spans="1:10">
      <c r="A110" s="1" t="s">
        <v>22</v>
      </c>
      <c r="B110" s="1" t="str">
        <f>"代璐"</f>
        <v>代璐</v>
      </c>
      <c r="C110" s="1" t="str">
        <f>"女"</f>
        <v>女</v>
      </c>
      <c r="D110" s="1" t="str">
        <f t="shared" si="9"/>
        <v>汉族</v>
      </c>
      <c r="E110" s="1" t="str">
        <f>"15062120526"</f>
        <v>15062120526</v>
      </c>
      <c r="F110" s="1">
        <v>5</v>
      </c>
      <c r="G110" s="1">
        <v>26</v>
      </c>
      <c r="H110" s="5">
        <v>0</v>
      </c>
      <c r="I110" s="1">
        <v>0</v>
      </c>
      <c r="J110" s="1">
        <f t="shared" si="5"/>
        <v>0</v>
      </c>
    </row>
    <row r="111" spans="1:10">
      <c r="A111" s="1" t="s">
        <v>22</v>
      </c>
      <c r="B111" s="1" t="str">
        <f>"李慧"</f>
        <v>李慧</v>
      </c>
      <c r="C111" s="1" t="str">
        <f>"女"</f>
        <v>女</v>
      </c>
      <c r="D111" s="1" t="str">
        <f t="shared" si="9"/>
        <v>汉族</v>
      </c>
      <c r="E111" s="1" t="str">
        <f>"15062120527"</f>
        <v>15062120527</v>
      </c>
      <c r="F111" s="1">
        <v>5</v>
      </c>
      <c r="G111" s="1">
        <v>27</v>
      </c>
      <c r="H111" s="5">
        <v>61.5</v>
      </c>
      <c r="I111" s="1">
        <v>0</v>
      </c>
      <c r="J111" s="1">
        <f t="shared" si="5"/>
        <v>61.5</v>
      </c>
    </row>
    <row r="112" spans="1:10">
      <c r="A112" s="1" t="s">
        <v>22</v>
      </c>
      <c r="B112" s="1" t="str">
        <f>"韩霞"</f>
        <v>韩霞</v>
      </c>
      <c r="C112" s="1" t="str">
        <f>"女"</f>
        <v>女</v>
      </c>
      <c r="D112" s="1" t="str">
        <f t="shared" si="9"/>
        <v>汉族</v>
      </c>
      <c r="E112" s="1" t="str">
        <f>"15062120528"</f>
        <v>15062120528</v>
      </c>
      <c r="F112" s="1">
        <v>5</v>
      </c>
      <c r="G112" s="1">
        <v>28</v>
      </c>
      <c r="H112" s="5">
        <v>0</v>
      </c>
      <c r="I112" s="1">
        <v>0</v>
      </c>
      <c r="J112" s="1">
        <f t="shared" si="5"/>
        <v>0</v>
      </c>
    </row>
    <row r="113" spans="1:10">
      <c r="A113" s="1" t="s">
        <v>22</v>
      </c>
      <c r="B113" s="1" t="str">
        <f>"陈方"</f>
        <v>陈方</v>
      </c>
      <c r="C113" s="1" t="str">
        <f>"女"</f>
        <v>女</v>
      </c>
      <c r="D113" s="1" t="str">
        <f>"蒙古族"</f>
        <v>蒙古族</v>
      </c>
      <c r="E113" s="1" t="str">
        <f>"15062120529"</f>
        <v>15062120529</v>
      </c>
      <c r="F113" s="1">
        <v>5</v>
      </c>
      <c r="G113" s="1">
        <v>29</v>
      </c>
      <c r="H113" s="5">
        <v>63.5</v>
      </c>
      <c r="I113" s="1">
        <v>2.5</v>
      </c>
      <c r="J113" s="1">
        <f t="shared" si="5"/>
        <v>66</v>
      </c>
    </row>
    <row r="114" spans="1:10">
      <c r="A114" s="1" t="s">
        <v>22</v>
      </c>
      <c r="B114" s="1" t="str">
        <f>"张如意"</f>
        <v>张如意</v>
      </c>
      <c r="C114" s="1" t="str">
        <f>"女"</f>
        <v>女</v>
      </c>
      <c r="D114" s="1" t="str">
        <f>"汉族"</f>
        <v>汉族</v>
      </c>
      <c r="E114" s="1" t="str">
        <f>"15062120530"</f>
        <v>15062120530</v>
      </c>
      <c r="F114" s="1">
        <v>5</v>
      </c>
      <c r="G114" s="1">
        <v>30</v>
      </c>
      <c r="H114" s="5">
        <v>58.5</v>
      </c>
      <c r="I114" s="1">
        <v>0</v>
      </c>
      <c r="J114" s="1">
        <f t="shared" si="5"/>
        <v>58.5</v>
      </c>
    </row>
    <row r="115" spans="1:10">
      <c r="A115" s="1" t="s">
        <v>22</v>
      </c>
      <c r="B115" s="1" t="str">
        <f>"塔拉"</f>
        <v>塔拉</v>
      </c>
      <c r="C115" s="1" t="str">
        <f>"男"</f>
        <v>男</v>
      </c>
      <c r="D115" s="1" t="str">
        <f>"蒙古族"</f>
        <v>蒙古族</v>
      </c>
      <c r="E115" s="1" t="str">
        <f>"15062120601"</f>
        <v>15062120601</v>
      </c>
      <c r="F115" s="1">
        <v>6</v>
      </c>
      <c r="G115" s="1">
        <v>1</v>
      </c>
      <c r="H115" s="5">
        <v>58.5</v>
      </c>
      <c r="I115" s="1">
        <v>2.5</v>
      </c>
      <c r="J115" s="1">
        <f t="shared" si="5"/>
        <v>61</v>
      </c>
    </row>
    <row r="116" spans="1:10">
      <c r="A116" s="1" t="s">
        <v>22</v>
      </c>
      <c r="B116" s="1" t="str">
        <f>"申宁宁"</f>
        <v>申宁宁</v>
      </c>
      <c r="C116" s="1" t="str">
        <f t="shared" ref="C116:C125" si="10">"女"</f>
        <v>女</v>
      </c>
      <c r="D116" s="1" t="str">
        <f t="shared" ref="D116:D122" si="11">"汉族"</f>
        <v>汉族</v>
      </c>
      <c r="E116" s="1" t="str">
        <f>"15062120602"</f>
        <v>15062120602</v>
      </c>
      <c r="F116" s="1">
        <v>6</v>
      </c>
      <c r="G116" s="1">
        <v>2</v>
      </c>
      <c r="H116" s="5">
        <v>0</v>
      </c>
      <c r="I116" s="1">
        <v>0</v>
      </c>
      <c r="J116" s="1">
        <f t="shared" si="5"/>
        <v>0</v>
      </c>
    </row>
    <row r="117" spans="1:10">
      <c r="A117" s="1" t="s">
        <v>22</v>
      </c>
      <c r="B117" s="1" t="str">
        <f>"刘娜"</f>
        <v>刘娜</v>
      </c>
      <c r="C117" s="1" t="str">
        <f t="shared" si="10"/>
        <v>女</v>
      </c>
      <c r="D117" s="1" t="str">
        <f t="shared" si="11"/>
        <v>汉族</v>
      </c>
      <c r="E117" s="1" t="str">
        <f>"15062120603"</f>
        <v>15062120603</v>
      </c>
      <c r="F117" s="1">
        <v>6</v>
      </c>
      <c r="G117" s="1">
        <v>3</v>
      </c>
      <c r="H117" s="5">
        <v>0</v>
      </c>
      <c r="I117" s="1">
        <v>0</v>
      </c>
      <c r="J117" s="1">
        <f t="shared" si="5"/>
        <v>0</v>
      </c>
    </row>
    <row r="118" spans="1:10">
      <c r="A118" s="1" t="s">
        <v>22</v>
      </c>
      <c r="B118" s="1" t="str">
        <f>"高翻翻"</f>
        <v>高翻翻</v>
      </c>
      <c r="C118" s="1" t="str">
        <f t="shared" si="10"/>
        <v>女</v>
      </c>
      <c r="D118" s="1" t="str">
        <f t="shared" si="11"/>
        <v>汉族</v>
      </c>
      <c r="E118" s="1" t="str">
        <f>"15062120604"</f>
        <v>15062120604</v>
      </c>
      <c r="F118" s="1">
        <v>6</v>
      </c>
      <c r="G118" s="1">
        <v>4</v>
      </c>
      <c r="H118" s="5">
        <v>0</v>
      </c>
      <c r="I118" s="1">
        <v>0</v>
      </c>
      <c r="J118" s="1">
        <f t="shared" si="5"/>
        <v>0</v>
      </c>
    </row>
    <row r="119" spans="1:10">
      <c r="A119" s="1" t="s">
        <v>22</v>
      </c>
      <c r="B119" s="1" t="str">
        <f>"郭彩霞"</f>
        <v>郭彩霞</v>
      </c>
      <c r="C119" s="1" t="str">
        <f t="shared" si="10"/>
        <v>女</v>
      </c>
      <c r="D119" s="1" t="str">
        <f t="shared" si="11"/>
        <v>汉族</v>
      </c>
      <c r="E119" s="1" t="str">
        <f>"15062120605"</f>
        <v>15062120605</v>
      </c>
      <c r="F119" s="1">
        <v>6</v>
      </c>
      <c r="G119" s="1">
        <v>5</v>
      </c>
      <c r="H119" s="5">
        <v>0</v>
      </c>
      <c r="I119" s="1">
        <v>0</v>
      </c>
      <c r="J119" s="1">
        <f t="shared" si="5"/>
        <v>0</v>
      </c>
    </row>
    <row r="120" spans="1:10">
      <c r="A120" s="1" t="s">
        <v>22</v>
      </c>
      <c r="B120" s="1" t="str">
        <f>"王乐"</f>
        <v>王乐</v>
      </c>
      <c r="C120" s="1" t="str">
        <f t="shared" si="10"/>
        <v>女</v>
      </c>
      <c r="D120" s="1" t="str">
        <f t="shared" si="11"/>
        <v>汉族</v>
      </c>
      <c r="E120" s="1" t="str">
        <f>"15062120606"</f>
        <v>15062120606</v>
      </c>
      <c r="F120" s="1">
        <v>6</v>
      </c>
      <c r="G120" s="1">
        <v>6</v>
      </c>
      <c r="H120" s="5">
        <v>58.5</v>
      </c>
      <c r="I120" s="1">
        <v>0</v>
      </c>
      <c r="J120" s="1">
        <f t="shared" si="5"/>
        <v>58.5</v>
      </c>
    </row>
    <row r="121" spans="1:10">
      <c r="A121" s="1" t="s">
        <v>22</v>
      </c>
      <c r="B121" s="1" t="str">
        <f>"郭瑞丽"</f>
        <v>郭瑞丽</v>
      </c>
      <c r="C121" s="1" t="str">
        <f t="shared" si="10"/>
        <v>女</v>
      </c>
      <c r="D121" s="1" t="str">
        <f t="shared" si="11"/>
        <v>汉族</v>
      </c>
      <c r="E121" s="1" t="str">
        <f>"15062120607"</f>
        <v>15062120607</v>
      </c>
      <c r="F121" s="1">
        <v>6</v>
      </c>
      <c r="G121" s="1">
        <v>7</v>
      </c>
      <c r="H121" s="5">
        <v>73</v>
      </c>
      <c r="I121" s="1">
        <v>0</v>
      </c>
      <c r="J121" s="1">
        <f t="shared" si="5"/>
        <v>73</v>
      </c>
    </row>
    <row r="122" spans="1:10">
      <c r="A122" s="1" t="s">
        <v>22</v>
      </c>
      <c r="B122" s="1" t="str">
        <f>"王秋昊"</f>
        <v>王秋昊</v>
      </c>
      <c r="C122" s="1" t="str">
        <f t="shared" si="10"/>
        <v>女</v>
      </c>
      <c r="D122" s="1" t="str">
        <f t="shared" si="11"/>
        <v>汉族</v>
      </c>
      <c r="E122" s="1" t="str">
        <f>"15062120608"</f>
        <v>15062120608</v>
      </c>
      <c r="F122" s="1">
        <v>6</v>
      </c>
      <c r="G122" s="1">
        <v>8</v>
      </c>
      <c r="H122" s="5">
        <v>0</v>
      </c>
      <c r="I122" s="1">
        <v>0</v>
      </c>
      <c r="J122" s="1">
        <f t="shared" si="5"/>
        <v>0</v>
      </c>
    </row>
    <row r="123" spans="1:10">
      <c r="A123" s="1" t="s">
        <v>22</v>
      </c>
      <c r="B123" s="1" t="str">
        <f>"吴双花"</f>
        <v>吴双花</v>
      </c>
      <c r="C123" s="1" t="str">
        <f t="shared" si="10"/>
        <v>女</v>
      </c>
      <c r="D123" s="1" t="str">
        <f>"蒙古族"</f>
        <v>蒙古族</v>
      </c>
      <c r="E123" s="1" t="str">
        <f>"15062120609"</f>
        <v>15062120609</v>
      </c>
      <c r="F123" s="1">
        <v>6</v>
      </c>
      <c r="G123" s="1">
        <v>9</v>
      </c>
      <c r="H123" s="5">
        <v>66</v>
      </c>
      <c r="I123" s="1">
        <v>2.5</v>
      </c>
      <c r="J123" s="1">
        <f t="shared" si="5"/>
        <v>68.5</v>
      </c>
    </row>
    <row r="124" spans="1:10">
      <c r="A124" s="1" t="s">
        <v>22</v>
      </c>
      <c r="B124" s="1" t="str">
        <f>"李苗苗"</f>
        <v>李苗苗</v>
      </c>
      <c r="C124" s="1" t="str">
        <f t="shared" si="10"/>
        <v>女</v>
      </c>
      <c r="D124" s="1" t="str">
        <f>"汉族"</f>
        <v>汉族</v>
      </c>
      <c r="E124" s="1" t="str">
        <f>"15062120610"</f>
        <v>15062120610</v>
      </c>
      <c r="F124" s="1">
        <v>6</v>
      </c>
      <c r="G124" s="1">
        <v>10</v>
      </c>
      <c r="H124" s="5">
        <v>0</v>
      </c>
      <c r="I124" s="1">
        <v>0</v>
      </c>
      <c r="J124" s="1">
        <f t="shared" si="5"/>
        <v>0</v>
      </c>
    </row>
    <row r="125" spans="1:10">
      <c r="A125" s="1" t="s">
        <v>22</v>
      </c>
      <c r="B125" s="1" t="str">
        <f>"刘天瑶"</f>
        <v>刘天瑶</v>
      </c>
      <c r="C125" s="1" t="str">
        <f t="shared" si="10"/>
        <v>女</v>
      </c>
      <c r="D125" s="1" t="str">
        <f>"蒙古族"</f>
        <v>蒙古族</v>
      </c>
      <c r="E125" s="1" t="str">
        <f>"15062120611"</f>
        <v>15062120611</v>
      </c>
      <c r="F125" s="1">
        <v>6</v>
      </c>
      <c r="G125" s="1">
        <v>11</v>
      </c>
      <c r="H125" s="5">
        <v>0</v>
      </c>
      <c r="I125" s="1">
        <v>0</v>
      </c>
      <c r="J125" s="1">
        <f t="shared" si="5"/>
        <v>0</v>
      </c>
    </row>
    <row r="126" spans="1:10">
      <c r="A126" s="1" t="s">
        <v>22</v>
      </c>
      <c r="B126" s="1" t="str">
        <f>"吕帅"</f>
        <v>吕帅</v>
      </c>
      <c r="C126" s="1" t="str">
        <f>"男"</f>
        <v>男</v>
      </c>
      <c r="D126" s="1" t="str">
        <f t="shared" ref="D126:D135" si="12">"汉族"</f>
        <v>汉族</v>
      </c>
      <c r="E126" s="1" t="str">
        <f>"15062120612"</f>
        <v>15062120612</v>
      </c>
      <c r="F126" s="1">
        <v>6</v>
      </c>
      <c r="G126" s="1">
        <v>12</v>
      </c>
      <c r="H126" s="5">
        <v>0</v>
      </c>
      <c r="I126" s="1">
        <v>0</v>
      </c>
      <c r="J126" s="1">
        <f t="shared" si="5"/>
        <v>0</v>
      </c>
    </row>
    <row r="127" spans="1:10">
      <c r="A127" s="1" t="s">
        <v>22</v>
      </c>
      <c r="B127" s="1" t="str">
        <f>"康蓉"</f>
        <v>康蓉</v>
      </c>
      <c r="C127" s="1" t="str">
        <f t="shared" ref="C127:C139" si="13">"女"</f>
        <v>女</v>
      </c>
      <c r="D127" s="1" t="str">
        <f t="shared" si="12"/>
        <v>汉族</v>
      </c>
      <c r="E127" s="1" t="str">
        <f>"15062120613"</f>
        <v>15062120613</v>
      </c>
      <c r="F127" s="1">
        <v>6</v>
      </c>
      <c r="G127" s="1">
        <v>13</v>
      </c>
      <c r="H127" s="5">
        <v>0</v>
      </c>
      <c r="I127" s="1">
        <v>0</v>
      </c>
      <c r="J127" s="1">
        <f t="shared" si="5"/>
        <v>0</v>
      </c>
    </row>
    <row r="128" spans="1:10">
      <c r="A128" s="1" t="s">
        <v>22</v>
      </c>
      <c r="B128" s="1" t="str">
        <f>"王艳荣"</f>
        <v>王艳荣</v>
      </c>
      <c r="C128" s="1" t="str">
        <f t="shared" si="13"/>
        <v>女</v>
      </c>
      <c r="D128" s="1" t="str">
        <f t="shared" si="12"/>
        <v>汉族</v>
      </c>
      <c r="E128" s="1" t="str">
        <f>"15062120614"</f>
        <v>15062120614</v>
      </c>
      <c r="F128" s="1">
        <v>6</v>
      </c>
      <c r="G128" s="1">
        <v>14</v>
      </c>
      <c r="H128" s="5">
        <v>0</v>
      </c>
      <c r="I128" s="1">
        <v>0</v>
      </c>
      <c r="J128" s="1">
        <f t="shared" si="5"/>
        <v>0</v>
      </c>
    </row>
    <row r="129" spans="1:10">
      <c r="A129" s="1" t="s">
        <v>22</v>
      </c>
      <c r="B129" s="1" t="str">
        <f>"崔惠"</f>
        <v>崔惠</v>
      </c>
      <c r="C129" s="1" t="str">
        <f t="shared" si="13"/>
        <v>女</v>
      </c>
      <c r="D129" s="1" t="str">
        <f t="shared" si="12"/>
        <v>汉族</v>
      </c>
      <c r="E129" s="1" t="str">
        <f>"15062120615"</f>
        <v>15062120615</v>
      </c>
      <c r="F129" s="1">
        <v>6</v>
      </c>
      <c r="G129" s="1">
        <v>15</v>
      </c>
      <c r="H129" s="5">
        <v>71</v>
      </c>
      <c r="I129" s="1">
        <v>0</v>
      </c>
      <c r="J129" s="1">
        <f t="shared" si="5"/>
        <v>71</v>
      </c>
    </row>
    <row r="130" spans="1:10">
      <c r="A130" s="1" t="s">
        <v>22</v>
      </c>
      <c r="B130" s="1" t="str">
        <f>"杨婷"</f>
        <v>杨婷</v>
      </c>
      <c r="C130" s="1" t="str">
        <f t="shared" si="13"/>
        <v>女</v>
      </c>
      <c r="D130" s="1" t="str">
        <f t="shared" si="12"/>
        <v>汉族</v>
      </c>
      <c r="E130" s="1" t="str">
        <f>"15062120616"</f>
        <v>15062120616</v>
      </c>
      <c r="F130" s="1">
        <v>6</v>
      </c>
      <c r="G130" s="1">
        <v>16</v>
      </c>
      <c r="H130" s="5">
        <v>54.5</v>
      </c>
      <c r="I130" s="1">
        <v>0</v>
      </c>
      <c r="J130" s="1">
        <f t="shared" si="5"/>
        <v>54.5</v>
      </c>
    </row>
    <row r="131" spans="1:10">
      <c r="A131" s="1" t="s">
        <v>22</v>
      </c>
      <c r="B131" s="1" t="str">
        <f>"王玲"</f>
        <v>王玲</v>
      </c>
      <c r="C131" s="1" t="str">
        <f t="shared" si="13"/>
        <v>女</v>
      </c>
      <c r="D131" s="1" t="str">
        <f t="shared" si="12"/>
        <v>汉族</v>
      </c>
      <c r="E131" s="1" t="str">
        <f>"15062120617"</f>
        <v>15062120617</v>
      </c>
      <c r="F131" s="1">
        <v>6</v>
      </c>
      <c r="G131" s="1">
        <v>17</v>
      </c>
      <c r="H131" s="5">
        <v>40</v>
      </c>
      <c r="I131" s="1">
        <v>0</v>
      </c>
      <c r="J131" s="1">
        <f t="shared" ref="J131:J194" si="14">H131+I131</f>
        <v>40</v>
      </c>
    </row>
    <row r="132" spans="1:10">
      <c r="A132" s="1" t="s">
        <v>22</v>
      </c>
      <c r="B132" s="1" t="str">
        <f>"冀慧丰"</f>
        <v>冀慧丰</v>
      </c>
      <c r="C132" s="1" t="str">
        <f t="shared" si="13"/>
        <v>女</v>
      </c>
      <c r="D132" s="1" t="str">
        <f t="shared" si="12"/>
        <v>汉族</v>
      </c>
      <c r="E132" s="1" t="str">
        <f>"15062120618"</f>
        <v>15062120618</v>
      </c>
      <c r="F132" s="1">
        <v>6</v>
      </c>
      <c r="G132" s="1">
        <v>18</v>
      </c>
      <c r="H132" s="5">
        <v>0</v>
      </c>
      <c r="I132" s="1">
        <v>0</v>
      </c>
      <c r="J132" s="1">
        <f t="shared" si="14"/>
        <v>0</v>
      </c>
    </row>
    <row r="133" spans="1:10">
      <c r="A133" s="1" t="s">
        <v>22</v>
      </c>
      <c r="B133" s="1" t="str">
        <f>"任小青"</f>
        <v>任小青</v>
      </c>
      <c r="C133" s="1" t="str">
        <f t="shared" si="13"/>
        <v>女</v>
      </c>
      <c r="D133" s="1" t="str">
        <f t="shared" si="12"/>
        <v>汉族</v>
      </c>
      <c r="E133" s="1" t="str">
        <f>"15062120619"</f>
        <v>15062120619</v>
      </c>
      <c r="F133" s="1">
        <v>6</v>
      </c>
      <c r="G133" s="1">
        <v>19</v>
      </c>
      <c r="H133" s="5">
        <v>0</v>
      </c>
      <c r="I133" s="1">
        <v>0</v>
      </c>
      <c r="J133" s="1">
        <f t="shared" si="14"/>
        <v>0</v>
      </c>
    </row>
    <row r="134" spans="1:10">
      <c r="A134" s="1" t="s">
        <v>22</v>
      </c>
      <c r="B134" s="1" t="str">
        <f>"李月霞"</f>
        <v>李月霞</v>
      </c>
      <c r="C134" s="1" t="str">
        <f t="shared" si="13"/>
        <v>女</v>
      </c>
      <c r="D134" s="1" t="str">
        <f t="shared" si="12"/>
        <v>汉族</v>
      </c>
      <c r="E134" s="1" t="str">
        <f>"15062120620"</f>
        <v>15062120620</v>
      </c>
      <c r="F134" s="1">
        <v>6</v>
      </c>
      <c r="G134" s="1">
        <v>20</v>
      </c>
      <c r="H134" s="5">
        <v>66</v>
      </c>
      <c r="I134" s="1">
        <v>0</v>
      </c>
      <c r="J134" s="1">
        <f t="shared" si="14"/>
        <v>66</v>
      </c>
    </row>
    <row r="135" spans="1:10">
      <c r="A135" s="1" t="s">
        <v>22</v>
      </c>
      <c r="B135" s="1" t="str">
        <f>"郝宇琴"</f>
        <v>郝宇琴</v>
      </c>
      <c r="C135" s="1" t="str">
        <f t="shared" si="13"/>
        <v>女</v>
      </c>
      <c r="D135" s="1" t="str">
        <f t="shared" si="12"/>
        <v>汉族</v>
      </c>
      <c r="E135" s="1" t="str">
        <f>"15062120621"</f>
        <v>15062120621</v>
      </c>
      <c r="F135" s="1">
        <v>6</v>
      </c>
      <c r="G135" s="1">
        <v>21</v>
      </c>
      <c r="H135" s="5">
        <v>0</v>
      </c>
      <c r="I135" s="1">
        <v>0</v>
      </c>
      <c r="J135" s="1">
        <f t="shared" si="14"/>
        <v>0</v>
      </c>
    </row>
    <row r="136" spans="1:10">
      <c r="A136" s="1" t="s">
        <v>22</v>
      </c>
      <c r="B136" s="1" t="str">
        <f>"阿嵘"</f>
        <v>阿嵘</v>
      </c>
      <c r="C136" s="1" t="str">
        <f t="shared" si="13"/>
        <v>女</v>
      </c>
      <c r="D136" s="1" t="str">
        <f>"蒙古族"</f>
        <v>蒙古族</v>
      </c>
      <c r="E136" s="1" t="str">
        <f>"15062120622"</f>
        <v>15062120622</v>
      </c>
      <c r="F136" s="1">
        <v>6</v>
      </c>
      <c r="G136" s="1">
        <v>22</v>
      </c>
      <c r="H136" s="5">
        <v>58.5</v>
      </c>
      <c r="I136" s="1">
        <v>2.5</v>
      </c>
      <c r="J136" s="1">
        <f t="shared" si="14"/>
        <v>61</v>
      </c>
    </row>
    <row r="137" spans="1:10">
      <c r="A137" s="1" t="s">
        <v>22</v>
      </c>
      <c r="B137" s="1" t="str">
        <f>"钱梅"</f>
        <v>钱梅</v>
      </c>
      <c r="C137" s="1" t="str">
        <f t="shared" si="13"/>
        <v>女</v>
      </c>
      <c r="D137" s="1" t="str">
        <f>"蒙古族"</f>
        <v>蒙古族</v>
      </c>
      <c r="E137" s="1" t="str">
        <f>"15062120623"</f>
        <v>15062120623</v>
      </c>
      <c r="F137" s="1">
        <v>6</v>
      </c>
      <c r="G137" s="1">
        <v>23</v>
      </c>
      <c r="H137" s="5">
        <v>59.5</v>
      </c>
      <c r="I137" s="1">
        <v>2.5</v>
      </c>
      <c r="J137" s="1">
        <f t="shared" si="14"/>
        <v>62</v>
      </c>
    </row>
    <row r="138" spans="1:10">
      <c r="A138" s="1" t="s">
        <v>22</v>
      </c>
      <c r="B138" s="1" t="str">
        <f>"张淼淼"</f>
        <v>张淼淼</v>
      </c>
      <c r="C138" s="1" t="str">
        <f t="shared" si="13"/>
        <v>女</v>
      </c>
      <c r="D138" s="1" t="str">
        <f>"蒙古族"</f>
        <v>蒙古族</v>
      </c>
      <c r="E138" s="1" t="str">
        <f>"15062120624"</f>
        <v>15062120624</v>
      </c>
      <c r="F138" s="1">
        <v>6</v>
      </c>
      <c r="G138" s="1">
        <v>24</v>
      </c>
      <c r="H138" s="5">
        <v>54.5</v>
      </c>
      <c r="I138" s="1">
        <v>2.5</v>
      </c>
      <c r="J138" s="1">
        <f t="shared" si="14"/>
        <v>57</v>
      </c>
    </row>
    <row r="139" spans="1:10">
      <c r="A139" s="1" t="s">
        <v>22</v>
      </c>
      <c r="B139" s="1" t="str">
        <f>"杨霞"</f>
        <v>杨霞</v>
      </c>
      <c r="C139" s="1" t="str">
        <f t="shared" si="13"/>
        <v>女</v>
      </c>
      <c r="D139" s="1" t="str">
        <f>"汉族"</f>
        <v>汉族</v>
      </c>
      <c r="E139" s="1" t="str">
        <f>"15062120625"</f>
        <v>15062120625</v>
      </c>
      <c r="F139" s="1">
        <v>6</v>
      </c>
      <c r="G139" s="1">
        <v>25</v>
      </c>
      <c r="H139" s="5">
        <v>0</v>
      </c>
      <c r="I139" s="1">
        <v>0</v>
      </c>
      <c r="J139" s="1">
        <f t="shared" si="14"/>
        <v>0</v>
      </c>
    </row>
    <row r="140" spans="1:10">
      <c r="A140" s="1" t="s">
        <v>22</v>
      </c>
      <c r="B140" s="1" t="str">
        <f>"达日汉"</f>
        <v>达日汉</v>
      </c>
      <c r="C140" s="1" t="str">
        <f>"男"</f>
        <v>男</v>
      </c>
      <c r="D140" s="1" t="str">
        <f>"蒙古族"</f>
        <v>蒙古族</v>
      </c>
      <c r="E140" s="1" t="str">
        <f>"15062120626"</f>
        <v>15062120626</v>
      </c>
      <c r="F140" s="1">
        <v>6</v>
      </c>
      <c r="G140" s="1">
        <v>26</v>
      </c>
      <c r="H140" s="5">
        <v>61.5</v>
      </c>
      <c r="I140" s="1">
        <v>2.5</v>
      </c>
      <c r="J140" s="1">
        <f t="shared" si="14"/>
        <v>64</v>
      </c>
    </row>
    <row r="141" spans="1:10">
      <c r="A141" s="1" t="s">
        <v>22</v>
      </c>
      <c r="B141" s="1" t="str">
        <f>"刘胜义"</f>
        <v>刘胜义</v>
      </c>
      <c r="C141" s="1" t="str">
        <f>"男"</f>
        <v>男</v>
      </c>
      <c r="D141" s="1" t="str">
        <f t="shared" ref="D141:D147" si="15">"汉族"</f>
        <v>汉族</v>
      </c>
      <c r="E141" s="1" t="str">
        <f>"15062120627"</f>
        <v>15062120627</v>
      </c>
      <c r="F141" s="1">
        <v>6</v>
      </c>
      <c r="G141" s="1">
        <v>27</v>
      </c>
      <c r="H141" s="5">
        <v>65</v>
      </c>
      <c r="I141" s="1">
        <v>0</v>
      </c>
      <c r="J141" s="1">
        <f t="shared" si="14"/>
        <v>65</v>
      </c>
    </row>
    <row r="142" spans="1:10">
      <c r="A142" s="1" t="s">
        <v>22</v>
      </c>
      <c r="B142" s="1" t="str">
        <f>"邢凤霞"</f>
        <v>邢凤霞</v>
      </c>
      <c r="C142" s="1" t="str">
        <f t="shared" ref="C142:C149" si="16">"女"</f>
        <v>女</v>
      </c>
      <c r="D142" s="1" t="str">
        <f t="shared" si="15"/>
        <v>汉族</v>
      </c>
      <c r="E142" s="1" t="str">
        <f>"15062120628"</f>
        <v>15062120628</v>
      </c>
      <c r="F142" s="1">
        <v>6</v>
      </c>
      <c r="G142" s="1">
        <v>28</v>
      </c>
      <c r="H142" s="5">
        <v>0</v>
      </c>
      <c r="I142" s="1">
        <v>0</v>
      </c>
      <c r="J142" s="1">
        <f t="shared" si="14"/>
        <v>0</v>
      </c>
    </row>
    <row r="143" spans="1:10">
      <c r="A143" s="1" t="s">
        <v>22</v>
      </c>
      <c r="B143" s="1" t="str">
        <f>"马小敏"</f>
        <v>马小敏</v>
      </c>
      <c r="C143" s="1" t="str">
        <f t="shared" si="16"/>
        <v>女</v>
      </c>
      <c r="D143" s="1" t="str">
        <f t="shared" si="15"/>
        <v>汉族</v>
      </c>
      <c r="E143" s="1" t="str">
        <f>"15062120629"</f>
        <v>15062120629</v>
      </c>
      <c r="F143" s="1">
        <v>6</v>
      </c>
      <c r="G143" s="1">
        <v>29</v>
      </c>
      <c r="H143" s="5">
        <v>0</v>
      </c>
      <c r="I143" s="1">
        <v>0</v>
      </c>
      <c r="J143" s="1">
        <f t="shared" si="14"/>
        <v>0</v>
      </c>
    </row>
    <row r="144" spans="1:10">
      <c r="A144" s="1" t="s">
        <v>22</v>
      </c>
      <c r="B144" s="1" t="str">
        <f>"袁鑫"</f>
        <v>袁鑫</v>
      </c>
      <c r="C144" s="1" t="str">
        <f t="shared" si="16"/>
        <v>女</v>
      </c>
      <c r="D144" s="1" t="str">
        <f t="shared" si="15"/>
        <v>汉族</v>
      </c>
      <c r="E144" s="1" t="str">
        <f>"15062120630"</f>
        <v>15062120630</v>
      </c>
      <c r="F144" s="1">
        <v>6</v>
      </c>
      <c r="G144" s="1">
        <v>30</v>
      </c>
      <c r="H144" s="5">
        <v>54.5</v>
      </c>
      <c r="I144" s="1">
        <v>0</v>
      </c>
      <c r="J144" s="1">
        <f t="shared" si="14"/>
        <v>54.5</v>
      </c>
    </row>
    <row r="145" spans="1:10">
      <c r="A145" s="1" t="s">
        <v>22</v>
      </c>
      <c r="B145" s="1" t="str">
        <f>"李雨绿"</f>
        <v>李雨绿</v>
      </c>
      <c r="C145" s="1" t="str">
        <f t="shared" si="16"/>
        <v>女</v>
      </c>
      <c r="D145" s="1" t="str">
        <f t="shared" si="15"/>
        <v>汉族</v>
      </c>
      <c r="E145" s="1" t="str">
        <f>"15062120701"</f>
        <v>15062120701</v>
      </c>
      <c r="F145" s="1">
        <v>7</v>
      </c>
      <c r="G145" s="1">
        <v>1</v>
      </c>
      <c r="H145" s="5">
        <v>0</v>
      </c>
      <c r="I145" s="1">
        <v>0</v>
      </c>
      <c r="J145" s="1">
        <f t="shared" si="14"/>
        <v>0</v>
      </c>
    </row>
    <row r="146" spans="1:10">
      <c r="A146" s="1" t="s">
        <v>22</v>
      </c>
      <c r="B146" s="1" t="str">
        <f>"翟春阳"</f>
        <v>翟春阳</v>
      </c>
      <c r="C146" s="1" t="str">
        <f t="shared" si="16"/>
        <v>女</v>
      </c>
      <c r="D146" s="1" t="str">
        <f t="shared" si="15"/>
        <v>汉族</v>
      </c>
      <c r="E146" s="1" t="str">
        <f>"15062120702"</f>
        <v>15062120702</v>
      </c>
      <c r="F146" s="1">
        <v>7</v>
      </c>
      <c r="G146" s="1">
        <v>2</v>
      </c>
      <c r="H146" s="5">
        <v>0</v>
      </c>
      <c r="I146" s="1">
        <v>0</v>
      </c>
      <c r="J146" s="1">
        <f t="shared" si="14"/>
        <v>0</v>
      </c>
    </row>
    <row r="147" spans="1:10">
      <c r="A147" s="1" t="s">
        <v>22</v>
      </c>
      <c r="B147" s="1" t="str">
        <f>"高利青"</f>
        <v>高利青</v>
      </c>
      <c r="C147" s="1" t="str">
        <f t="shared" si="16"/>
        <v>女</v>
      </c>
      <c r="D147" s="1" t="str">
        <f t="shared" si="15"/>
        <v>汉族</v>
      </c>
      <c r="E147" s="1" t="str">
        <f>"15062120703"</f>
        <v>15062120703</v>
      </c>
      <c r="F147" s="1">
        <v>7</v>
      </c>
      <c r="G147" s="1">
        <v>3</v>
      </c>
      <c r="H147" s="5">
        <v>0</v>
      </c>
      <c r="I147" s="1">
        <v>0</v>
      </c>
      <c r="J147" s="1">
        <f t="shared" si="14"/>
        <v>0</v>
      </c>
    </row>
    <row r="148" spans="1:10">
      <c r="A148" s="1" t="s">
        <v>22</v>
      </c>
      <c r="B148" s="1" t="str">
        <f>"卓娜"</f>
        <v>卓娜</v>
      </c>
      <c r="C148" s="1" t="str">
        <f t="shared" si="16"/>
        <v>女</v>
      </c>
      <c r="D148" s="1" t="str">
        <f>"蒙古族"</f>
        <v>蒙古族</v>
      </c>
      <c r="E148" s="1" t="str">
        <f>"15062120704"</f>
        <v>15062120704</v>
      </c>
      <c r="F148" s="1">
        <v>7</v>
      </c>
      <c r="G148" s="1">
        <v>4</v>
      </c>
      <c r="H148" s="5">
        <v>80</v>
      </c>
      <c r="I148" s="1">
        <v>2.5</v>
      </c>
      <c r="J148" s="1">
        <f t="shared" si="14"/>
        <v>82.5</v>
      </c>
    </row>
    <row r="149" spans="1:10">
      <c r="A149" s="1" t="s">
        <v>22</v>
      </c>
      <c r="B149" s="1" t="str">
        <f>"白改奋"</f>
        <v>白改奋</v>
      </c>
      <c r="C149" s="1" t="str">
        <f t="shared" si="16"/>
        <v>女</v>
      </c>
      <c r="D149" s="1" t="str">
        <f t="shared" ref="D149:D155" si="17">"汉族"</f>
        <v>汉族</v>
      </c>
      <c r="E149" s="1" t="str">
        <f>"15062120705"</f>
        <v>15062120705</v>
      </c>
      <c r="F149" s="1">
        <v>7</v>
      </c>
      <c r="G149" s="1">
        <v>5</v>
      </c>
      <c r="H149" s="5">
        <v>71</v>
      </c>
      <c r="I149" s="1">
        <v>0</v>
      </c>
      <c r="J149" s="1">
        <f t="shared" si="14"/>
        <v>71</v>
      </c>
    </row>
    <row r="150" spans="1:10">
      <c r="A150" s="1" t="s">
        <v>22</v>
      </c>
      <c r="B150" s="1" t="str">
        <f>"辛开业"</f>
        <v>辛开业</v>
      </c>
      <c r="C150" s="1" t="str">
        <f>"男"</f>
        <v>男</v>
      </c>
      <c r="D150" s="1" t="str">
        <f t="shared" si="17"/>
        <v>汉族</v>
      </c>
      <c r="E150" s="1" t="str">
        <f>"15062120706"</f>
        <v>15062120706</v>
      </c>
      <c r="F150" s="1">
        <v>7</v>
      </c>
      <c r="G150" s="1">
        <v>6</v>
      </c>
      <c r="H150" s="5">
        <v>0</v>
      </c>
      <c r="I150" s="1">
        <v>0</v>
      </c>
      <c r="J150" s="1">
        <f t="shared" si="14"/>
        <v>0</v>
      </c>
    </row>
    <row r="151" spans="1:10">
      <c r="A151" s="1" t="s">
        <v>22</v>
      </c>
      <c r="B151" s="1" t="str">
        <f>"郝敏"</f>
        <v>郝敏</v>
      </c>
      <c r="C151" s="1" t="str">
        <f t="shared" ref="C151:C162" si="18">"女"</f>
        <v>女</v>
      </c>
      <c r="D151" s="1" t="str">
        <f t="shared" si="17"/>
        <v>汉族</v>
      </c>
      <c r="E151" s="1" t="str">
        <f>"15062120707"</f>
        <v>15062120707</v>
      </c>
      <c r="F151" s="1">
        <v>7</v>
      </c>
      <c r="G151" s="1">
        <v>7</v>
      </c>
      <c r="H151" s="5">
        <v>61</v>
      </c>
      <c r="I151" s="1">
        <v>0</v>
      </c>
      <c r="J151" s="1">
        <f t="shared" si="14"/>
        <v>61</v>
      </c>
    </row>
    <row r="152" spans="1:10">
      <c r="A152" s="1" t="s">
        <v>22</v>
      </c>
      <c r="B152" s="1" t="str">
        <f>"王雪荣"</f>
        <v>王雪荣</v>
      </c>
      <c r="C152" s="1" t="str">
        <f t="shared" si="18"/>
        <v>女</v>
      </c>
      <c r="D152" s="1" t="str">
        <f t="shared" si="17"/>
        <v>汉族</v>
      </c>
      <c r="E152" s="1" t="str">
        <f>"15062120708"</f>
        <v>15062120708</v>
      </c>
      <c r="F152" s="1">
        <v>7</v>
      </c>
      <c r="G152" s="1">
        <v>8</v>
      </c>
      <c r="H152" s="5">
        <v>59.5</v>
      </c>
      <c r="I152" s="1">
        <v>0</v>
      </c>
      <c r="J152" s="1">
        <f t="shared" si="14"/>
        <v>59.5</v>
      </c>
    </row>
    <row r="153" spans="1:10">
      <c r="A153" s="1" t="s">
        <v>22</v>
      </c>
      <c r="B153" s="1" t="str">
        <f>"任慧"</f>
        <v>任慧</v>
      </c>
      <c r="C153" s="1" t="str">
        <f t="shared" si="18"/>
        <v>女</v>
      </c>
      <c r="D153" s="1" t="str">
        <f t="shared" si="17"/>
        <v>汉族</v>
      </c>
      <c r="E153" s="1" t="str">
        <f>"15062120709"</f>
        <v>15062120709</v>
      </c>
      <c r="F153" s="1">
        <v>7</v>
      </c>
      <c r="G153" s="1">
        <v>9</v>
      </c>
      <c r="H153" s="5">
        <v>0</v>
      </c>
      <c r="I153" s="1">
        <v>0</v>
      </c>
      <c r="J153" s="1">
        <f t="shared" si="14"/>
        <v>0</v>
      </c>
    </row>
    <row r="154" spans="1:10">
      <c r="A154" s="1" t="s">
        <v>22</v>
      </c>
      <c r="B154" s="1" t="str">
        <f>"李莎"</f>
        <v>李莎</v>
      </c>
      <c r="C154" s="1" t="str">
        <f t="shared" si="18"/>
        <v>女</v>
      </c>
      <c r="D154" s="1" t="str">
        <f t="shared" si="17"/>
        <v>汉族</v>
      </c>
      <c r="E154" s="1" t="str">
        <f>"15062120710"</f>
        <v>15062120710</v>
      </c>
      <c r="F154" s="1">
        <v>7</v>
      </c>
      <c r="G154" s="1">
        <v>10</v>
      </c>
      <c r="H154" s="5">
        <v>0</v>
      </c>
      <c r="I154" s="1">
        <v>0</v>
      </c>
      <c r="J154" s="1">
        <f t="shared" si="14"/>
        <v>0</v>
      </c>
    </row>
    <row r="155" spans="1:10">
      <c r="A155" s="1" t="s">
        <v>22</v>
      </c>
      <c r="B155" s="1" t="str">
        <f>"苗文静"</f>
        <v>苗文静</v>
      </c>
      <c r="C155" s="1" t="str">
        <f t="shared" si="18"/>
        <v>女</v>
      </c>
      <c r="D155" s="1" t="str">
        <f t="shared" si="17"/>
        <v>汉族</v>
      </c>
      <c r="E155" s="1" t="str">
        <f>"15062120711"</f>
        <v>15062120711</v>
      </c>
      <c r="F155" s="1">
        <v>7</v>
      </c>
      <c r="G155" s="1">
        <v>11</v>
      </c>
      <c r="H155" s="5">
        <v>51</v>
      </c>
      <c r="I155" s="1">
        <v>0</v>
      </c>
      <c r="J155" s="1">
        <f t="shared" si="14"/>
        <v>51</v>
      </c>
    </row>
    <row r="156" spans="1:10">
      <c r="A156" s="1" t="s">
        <v>22</v>
      </c>
      <c r="B156" s="1" t="str">
        <f>"杨培燕"</f>
        <v>杨培燕</v>
      </c>
      <c r="C156" s="1" t="str">
        <f t="shared" si="18"/>
        <v>女</v>
      </c>
      <c r="D156" s="1" t="str">
        <f>"蒙古族"</f>
        <v>蒙古族</v>
      </c>
      <c r="E156" s="1" t="str">
        <f>"15062120712"</f>
        <v>15062120712</v>
      </c>
      <c r="F156" s="1">
        <v>7</v>
      </c>
      <c r="G156" s="1">
        <v>12</v>
      </c>
      <c r="H156" s="5">
        <v>0</v>
      </c>
      <c r="I156" s="1">
        <v>0</v>
      </c>
      <c r="J156" s="1">
        <f t="shared" si="14"/>
        <v>0</v>
      </c>
    </row>
    <row r="157" spans="1:10">
      <c r="A157" s="1" t="s">
        <v>22</v>
      </c>
      <c r="B157" s="1" t="str">
        <f>"李小丽"</f>
        <v>李小丽</v>
      </c>
      <c r="C157" s="1" t="str">
        <f t="shared" si="18"/>
        <v>女</v>
      </c>
      <c r="D157" s="1" t="str">
        <f>"汉族"</f>
        <v>汉族</v>
      </c>
      <c r="E157" s="1" t="str">
        <f>"15062120713"</f>
        <v>15062120713</v>
      </c>
      <c r="F157" s="1">
        <v>7</v>
      </c>
      <c r="G157" s="1">
        <v>13</v>
      </c>
      <c r="H157" s="5">
        <v>0</v>
      </c>
      <c r="I157" s="1">
        <v>0</v>
      </c>
      <c r="J157" s="1">
        <f t="shared" si="14"/>
        <v>0</v>
      </c>
    </row>
    <row r="158" spans="1:10">
      <c r="A158" s="1" t="s">
        <v>22</v>
      </c>
      <c r="B158" s="1" t="str">
        <f>"马芬"</f>
        <v>马芬</v>
      </c>
      <c r="C158" s="1" t="str">
        <f t="shared" si="18"/>
        <v>女</v>
      </c>
      <c r="D158" s="1" t="str">
        <f>"汉族"</f>
        <v>汉族</v>
      </c>
      <c r="E158" s="1" t="str">
        <f>"15062120714"</f>
        <v>15062120714</v>
      </c>
      <c r="F158" s="1">
        <v>7</v>
      </c>
      <c r="G158" s="1">
        <v>14</v>
      </c>
      <c r="H158" s="5">
        <v>38.5</v>
      </c>
      <c r="I158" s="1">
        <v>0</v>
      </c>
      <c r="J158" s="1">
        <f t="shared" si="14"/>
        <v>38.5</v>
      </c>
    </row>
    <row r="159" spans="1:10">
      <c r="A159" s="1" t="s">
        <v>22</v>
      </c>
      <c r="B159" s="1" t="str">
        <f>"王子铮"</f>
        <v>王子铮</v>
      </c>
      <c r="C159" s="1" t="str">
        <f t="shared" si="18"/>
        <v>女</v>
      </c>
      <c r="D159" s="1" t="str">
        <f>"汉族"</f>
        <v>汉族</v>
      </c>
      <c r="E159" s="1" t="str">
        <f>"15062120715"</f>
        <v>15062120715</v>
      </c>
      <c r="F159" s="1">
        <v>7</v>
      </c>
      <c r="G159" s="1">
        <v>15</v>
      </c>
      <c r="H159" s="5">
        <v>49</v>
      </c>
      <c r="I159" s="1">
        <v>0</v>
      </c>
      <c r="J159" s="1">
        <f t="shared" si="14"/>
        <v>49</v>
      </c>
    </row>
    <row r="160" spans="1:10">
      <c r="A160" s="1" t="s">
        <v>22</v>
      </c>
      <c r="B160" s="1" t="str">
        <f>"白玉环"</f>
        <v>白玉环</v>
      </c>
      <c r="C160" s="1" t="str">
        <f t="shared" si="18"/>
        <v>女</v>
      </c>
      <c r="D160" s="1" t="str">
        <f>"蒙古族"</f>
        <v>蒙古族</v>
      </c>
      <c r="E160" s="1" t="str">
        <f>"15062120716"</f>
        <v>15062120716</v>
      </c>
      <c r="F160" s="1">
        <v>7</v>
      </c>
      <c r="G160" s="1">
        <v>16</v>
      </c>
      <c r="H160" s="5">
        <v>63.5</v>
      </c>
      <c r="I160" s="1">
        <v>2.5</v>
      </c>
      <c r="J160" s="1">
        <f t="shared" si="14"/>
        <v>66</v>
      </c>
    </row>
    <row r="161" spans="1:10">
      <c r="A161" s="1" t="s">
        <v>22</v>
      </c>
      <c r="B161" s="1" t="str">
        <f>"赵婷"</f>
        <v>赵婷</v>
      </c>
      <c r="C161" s="1" t="str">
        <f t="shared" si="18"/>
        <v>女</v>
      </c>
      <c r="D161" s="1" t="str">
        <f>"汉族"</f>
        <v>汉族</v>
      </c>
      <c r="E161" s="1" t="str">
        <f>"15062120717"</f>
        <v>15062120717</v>
      </c>
      <c r="F161" s="1">
        <v>7</v>
      </c>
      <c r="G161" s="1">
        <v>17</v>
      </c>
      <c r="H161" s="5">
        <v>0</v>
      </c>
      <c r="I161" s="1">
        <v>0</v>
      </c>
      <c r="J161" s="1">
        <f t="shared" si="14"/>
        <v>0</v>
      </c>
    </row>
    <row r="162" spans="1:10">
      <c r="A162" s="1" t="s">
        <v>22</v>
      </c>
      <c r="B162" s="1" t="str">
        <f>"阿拉腾锁吉"</f>
        <v>阿拉腾锁吉</v>
      </c>
      <c r="C162" s="1" t="str">
        <f t="shared" si="18"/>
        <v>女</v>
      </c>
      <c r="D162" s="1" t="str">
        <f>"蒙古族"</f>
        <v>蒙古族</v>
      </c>
      <c r="E162" s="1" t="str">
        <f>"15062120718"</f>
        <v>15062120718</v>
      </c>
      <c r="F162" s="1">
        <v>7</v>
      </c>
      <c r="G162" s="1">
        <v>18</v>
      </c>
      <c r="H162" s="5">
        <v>0</v>
      </c>
      <c r="I162" s="1">
        <v>0</v>
      </c>
      <c r="J162" s="1">
        <f t="shared" si="14"/>
        <v>0</v>
      </c>
    </row>
    <row r="163" spans="1:10">
      <c r="A163" s="1" t="s">
        <v>22</v>
      </c>
      <c r="B163" s="1" t="str">
        <f>"王凤岐"</f>
        <v>王凤岐</v>
      </c>
      <c r="C163" s="1" t="str">
        <f>"男"</f>
        <v>男</v>
      </c>
      <c r="D163" s="1" t="str">
        <f>"汉族"</f>
        <v>汉族</v>
      </c>
      <c r="E163" s="1" t="str">
        <f>"15062120719"</f>
        <v>15062120719</v>
      </c>
      <c r="F163" s="1">
        <v>7</v>
      </c>
      <c r="G163" s="1">
        <v>19</v>
      </c>
      <c r="H163" s="5">
        <v>0</v>
      </c>
      <c r="I163" s="1">
        <v>0</v>
      </c>
      <c r="J163" s="1">
        <f t="shared" si="14"/>
        <v>0</v>
      </c>
    </row>
    <row r="164" spans="1:10">
      <c r="A164" s="1" t="s">
        <v>22</v>
      </c>
      <c r="B164" s="1" t="str">
        <f>"冯艳"</f>
        <v>冯艳</v>
      </c>
      <c r="C164" s="1" t="str">
        <f>"女"</f>
        <v>女</v>
      </c>
      <c r="D164" s="1" t="str">
        <f>"汉族"</f>
        <v>汉族</v>
      </c>
      <c r="E164" s="1" t="str">
        <f>"15062120720"</f>
        <v>15062120720</v>
      </c>
      <c r="F164" s="1">
        <v>7</v>
      </c>
      <c r="G164" s="1">
        <v>20</v>
      </c>
      <c r="H164" s="5">
        <v>0</v>
      </c>
      <c r="I164" s="1">
        <v>0</v>
      </c>
      <c r="J164" s="1">
        <f t="shared" si="14"/>
        <v>0</v>
      </c>
    </row>
    <row r="165" spans="1:10">
      <c r="A165" s="1" t="s">
        <v>22</v>
      </c>
      <c r="B165" s="1" t="str">
        <f>"贾彩凤"</f>
        <v>贾彩凤</v>
      </c>
      <c r="C165" s="1" t="str">
        <f>"女"</f>
        <v>女</v>
      </c>
      <c r="D165" s="1" t="str">
        <f>"汉族"</f>
        <v>汉族</v>
      </c>
      <c r="E165" s="1" t="str">
        <f>"15062120721"</f>
        <v>15062120721</v>
      </c>
      <c r="F165" s="1">
        <v>7</v>
      </c>
      <c r="G165" s="1">
        <v>21</v>
      </c>
      <c r="H165" s="5">
        <v>50.5</v>
      </c>
      <c r="I165" s="1">
        <v>0</v>
      </c>
      <c r="J165" s="1">
        <f t="shared" si="14"/>
        <v>50.5</v>
      </c>
    </row>
    <row r="166" spans="1:10">
      <c r="A166" s="1" t="s">
        <v>22</v>
      </c>
      <c r="B166" s="1" t="str">
        <f>"王伟"</f>
        <v>王伟</v>
      </c>
      <c r="C166" s="1" t="str">
        <f>"男"</f>
        <v>男</v>
      </c>
      <c r="D166" s="1" t="str">
        <f>"汉族"</f>
        <v>汉族</v>
      </c>
      <c r="E166" s="1" t="str">
        <f>"15062120722"</f>
        <v>15062120722</v>
      </c>
      <c r="F166" s="1">
        <v>7</v>
      </c>
      <c r="G166" s="1">
        <v>22</v>
      </c>
      <c r="H166" s="5">
        <v>0</v>
      </c>
      <c r="I166" s="1">
        <v>0</v>
      </c>
      <c r="J166" s="1">
        <f t="shared" si="14"/>
        <v>0</v>
      </c>
    </row>
    <row r="167" spans="1:10">
      <c r="A167" s="1" t="s">
        <v>22</v>
      </c>
      <c r="B167" s="1" t="str">
        <f>"威力斯"</f>
        <v>威力斯</v>
      </c>
      <c r="C167" s="1" t="str">
        <f>"男"</f>
        <v>男</v>
      </c>
      <c r="D167" s="1" t="str">
        <f>"蒙古族"</f>
        <v>蒙古族</v>
      </c>
      <c r="E167" s="1" t="str">
        <f>"15062120723"</f>
        <v>15062120723</v>
      </c>
      <c r="F167" s="1">
        <v>7</v>
      </c>
      <c r="G167" s="1">
        <v>23</v>
      </c>
      <c r="H167" s="5">
        <v>64</v>
      </c>
      <c r="I167" s="1">
        <v>2.5</v>
      </c>
      <c r="J167" s="1">
        <f t="shared" si="14"/>
        <v>66.5</v>
      </c>
    </row>
    <row r="168" spans="1:10">
      <c r="A168" s="1" t="s">
        <v>22</v>
      </c>
      <c r="B168" s="1" t="str">
        <f>" 张彩霞"</f>
        <v xml:space="preserve"> 张彩霞</v>
      </c>
      <c r="C168" s="1" t="str">
        <f>"女"</f>
        <v>女</v>
      </c>
      <c r="D168" s="1" t="str">
        <f t="shared" ref="D168:D175" si="19">"汉族"</f>
        <v>汉族</v>
      </c>
      <c r="E168" s="1" t="str">
        <f>"15062120724"</f>
        <v>15062120724</v>
      </c>
      <c r="F168" s="1">
        <v>7</v>
      </c>
      <c r="G168" s="1">
        <v>24</v>
      </c>
      <c r="H168" s="5">
        <v>59.5</v>
      </c>
      <c r="I168" s="1">
        <v>0</v>
      </c>
      <c r="J168" s="1">
        <f t="shared" si="14"/>
        <v>59.5</v>
      </c>
    </row>
    <row r="169" spans="1:10">
      <c r="A169" s="1" t="s">
        <v>22</v>
      </c>
      <c r="B169" s="1" t="str">
        <f>"程慧"</f>
        <v>程慧</v>
      </c>
      <c r="C169" s="1" t="str">
        <f>"女"</f>
        <v>女</v>
      </c>
      <c r="D169" s="1" t="str">
        <f t="shared" si="19"/>
        <v>汉族</v>
      </c>
      <c r="E169" s="1" t="str">
        <f>"15062120725"</f>
        <v>15062120725</v>
      </c>
      <c r="F169" s="1">
        <v>7</v>
      </c>
      <c r="G169" s="1">
        <v>25</v>
      </c>
      <c r="H169" s="5">
        <v>59</v>
      </c>
      <c r="I169" s="1">
        <v>0</v>
      </c>
      <c r="J169" s="1">
        <f t="shared" si="14"/>
        <v>59</v>
      </c>
    </row>
    <row r="170" spans="1:10">
      <c r="A170" s="1" t="s">
        <v>22</v>
      </c>
      <c r="B170" s="1" t="str">
        <f>"张虹"</f>
        <v>张虹</v>
      </c>
      <c r="C170" s="1" t="str">
        <f>"女"</f>
        <v>女</v>
      </c>
      <c r="D170" s="1" t="str">
        <f t="shared" si="19"/>
        <v>汉族</v>
      </c>
      <c r="E170" s="1" t="str">
        <f>"15062120726"</f>
        <v>15062120726</v>
      </c>
      <c r="F170" s="1">
        <v>7</v>
      </c>
      <c r="G170" s="1">
        <v>26</v>
      </c>
      <c r="H170" s="5">
        <v>77</v>
      </c>
      <c r="I170" s="1">
        <v>0</v>
      </c>
      <c r="J170" s="1">
        <f t="shared" si="14"/>
        <v>77</v>
      </c>
    </row>
    <row r="171" spans="1:10">
      <c r="A171" s="1" t="s">
        <v>22</v>
      </c>
      <c r="B171" s="1" t="str">
        <f>"吴婷婷"</f>
        <v>吴婷婷</v>
      </c>
      <c r="C171" s="1" t="str">
        <f>"女"</f>
        <v>女</v>
      </c>
      <c r="D171" s="1" t="str">
        <f t="shared" si="19"/>
        <v>汉族</v>
      </c>
      <c r="E171" s="1" t="str">
        <f>"15062120727"</f>
        <v>15062120727</v>
      </c>
      <c r="F171" s="1">
        <v>7</v>
      </c>
      <c r="G171" s="1">
        <v>27</v>
      </c>
      <c r="H171" s="5">
        <v>58</v>
      </c>
      <c r="I171" s="1">
        <v>0</v>
      </c>
      <c r="J171" s="1">
        <f t="shared" si="14"/>
        <v>58</v>
      </c>
    </row>
    <row r="172" spans="1:10">
      <c r="A172" s="1" t="s">
        <v>22</v>
      </c>
      <c r="B172" s="1" t="str">
        <f>"田雅静"</f>
        <v>田雅静</v>
      </c>
      <c r="C172" s="1" t="str">
        <f>"女"</f>
        <v>女</v>
      </c>
      <c r="D172" s="1" t="str">
        <f t="shared" si="19"/>
        <v>汉族</v>
      </c>
      <c r="E172" s="1" t="str">
        <f>"15062120728"</f>
        <v>15062120728</v>
      </c>
      <c r="F172" s="1">
        <v>7</v>
      </c>
      <c r="G172" s="1">
        <v>28</v>
      </c>
      <c r="H172" s="5">
        <v>0</v>
      </c>
      <c r="I172" s="1">
        <v>0</v>
      </c>
      <c r="J172" s="1">
        <f t="shared" si="14"/>
        <v>0</v>
      </c>
    </row>
    <row r="173" spans="1:10">
      <c r="A173" s="1" t="s">
        <v>22</v>
      </c>
      <c r="B173" s="1" t="str">
        <f>"王浦"</f>
        <v>王浦</v>
      </c>
      <c r="C173" s="1" t="str">
        <f>"男"</f>
        <v>男</v>
      </c>
      <c r="D173" s="1" t="str">
        <f t="shared" si="19"/>
        <v>汉族</v>
      </c>
      <c r="E173" s="1" t="str">
        <f>"15062120729"</f>
        <v>15062120729</v>
      </c>
      <c r="F173" s="1">
        <v>7</v>
      </c>
      <c r="G173" s="1">
        <v>29</v>
      </c>
      <c r="H173" s="5">
        <v>0</v>
      </c>
      <c r="I173" s="1">
        <v>0</v>
      </c>
      <c r="J173" s="1">
        <f t="shared" si="14"/>
        <v>0</v>
      </c>
    </row>
    <row r="174" spans="1:10">
      <c r="A174" s="1" t="s">
        <v>22</v>
      </c>
      <c r="B174" s="1" t="str">
        <f>"吴晓燕"</f>
        <v>吴晓燕</v>
      </c>
      <c r="C174" s="1" t="str">
        <f>"女"</f>
        <v>女</v>
      </c>
      <c r="D174" s="1" t="str">
        <f t="shared" si="19"/>
        <v>汉族</v>
      </c>
      <c r="E174" s="1" t="str">
        <f>"15062120730"</f>
        <v>15062120730</v>
      </c>
      <c r="F174" s="1">
        <v>7</v>
      </c>
      <c r="G174" s="1">
        <v>30</v>
      </c>
      <c r="H174" s="5">
        <v>0</v>
      </c>
      <c r="I174" s="1">
        <v>0</v>
      </c>
      <c r="J174" s="1">
        <f t="shared" si="14"/>
        <v>0</v>
      </c>
    </row>
    <row r="175" spans="1:10">
      <c r="A175" s="1" t="s">
        <v>22</v>
      </c>
      <c r="B175" s="1" t="str">
        <f>"王丽子"</f>
        <v>王丽子</v>
      </c>
      <c r="C175" s="1" t="str">
        <f>"女"</f>
        <v>女</v>
      </c>
      <c r="D175" s="1" t="str">
        <f t="shared" si="19"/>
        <v>汉族</v>
      </c>
      <c r="E175" s="1" t="str">
        <f>"15062120801"</f>
        <v>15062120801</v>
      </c>
      <c r="F175" s="1">
        <v>8</v>
      </c>
      <c r="G175" s="1">
        <v>1</v>
      </c>
      <c r="H175" s="5">
        <v>56</v>
      </c>
      <c r="I175" s="1">
        <v>0</v>
      </c>
      <c r="J175" s="1">
        <f t="shared" si="14"/>
        <v>56</v>
      </c>
    </row>
    <row r="176" spans="1:10">
      <c r="A176" s="1" t="s">
        <v>22</v>
      </c>
      <c r="B176" s="1" t="str">
        <f>"高婷"</f>
        <v>高婷</v>
      </c>
      <c r="C176" s="1" t="str">
        <f>"女"</f>
        <v>女</v>
      </c>
      <c r="D176" s="1" t="str">
        <f>"蒙古族"</f>
        <v>蒙古族</v>
      </c>
      <c r="E176" s="1" t="str">
        <f>"15062120802"</f>
        <v>15062120802</v>
      </c>
      <c r="F176" s="1">
        <v>8</v>
      </c>
      <c r="G176" s="1">
        <v>2</v>
      </c>
      <c r="H176" s="5">
        <v>0</v>
      </c>
      <c r="I176" s="1">
        <v>0</v>
      </c>
      <c r="J176" s="1">
        <f t="shared" si="14"/>
        <v>0</v>
      </c>
    </row>
    <row r="177" spans="1:10">
      <c r="A177" s="1" t="s">
        <v>22</v>
      </c>
      <c r="B177" s="1" t="str">
        <f>"郑亚轩"</f>
        <v>郑亚轩</v>
      </c>
      <c r="C177" s="1" t="str">
        <f>"男"</f>
        <v>男</v>
      </c>
      <c r="D177" s="1" t="str">
        <f>"汉族"</f>
        <v>汉族</v>
      </c>
      <c r="E177" s="1" t="str">
        <f>"15062120803"</f>
        <v>15062120803</v>
      </c>
      <c r="F177" s="1">
        <v>8</v>
      </c>
      <c r="G177" s="1">
        <v>3</v>
      </c>
      <c r="H177" s="5">
        <v>52</v>
      </c>
      <c r="I177" s="1">
        <v>0</v>
      </c>
      <c r="J177" s="1">
        <f t="shared" si="14"/>
        <v>52</v>
      </c>
    </row>
    <row r="178" spans="1:10">
      <c r="A178" s="1" t="s">
        <v>22</v>
      </c>
      <c r="B178" s="1" t="str">
        <f>"梁桐"</f>
        <v>梁桐</v>
      </c>
      <c r="C178" s="1" t="str">
        <f t="shared" ref="C178:C183" si="20">"女"</f>
        <v>女</v>
      </c>
      <c r="D178" s="1" t="str">
        <f>"蒙古族"</f>
        <v>蒙古族</v>
      </c>
      <c r="E178" s="1" t="str">
        <f>"15062120804"</f>
        <v>15062120804</v>
      </c>
      <c r="F178" s="1">
        <v>8</v>
      </c>
      <c r="G178" s="1">
        <v>4</v>
      </c>
      <c r="H178" s="5">
        <v>0</v>
      </c>
      <c r="I178" s="1">
        <v>0</v>
      </c>
      <c r="J178" s="1">
        <f t="shared" si="14"/>
        <v>0</v>
      </c>
    </row>
    <row r="179" spans="1:10">
      <c r="A179" s="1" t="s">
        <v>22</v>
      </c>
      <c r="B179" s="1" t="str">
        <f>"杜佳梅"</f>
        <v>杜佳梅</v>
      </c>
      <c r="C179" s="1" t="str">
        <f t="shared" si="20"/>
        <v>女</v>
      </c>
      <c r="D179" s="1" t="str">
        <f t="shared" ref="D179:D192" si="21">"汉族"</f>
        <v>汉族</v>
      </c>
      <c r="E179" s="1" t="str">
        <f>"15062120805"</f>
        <v>15062120805</v>
      </c>
      <c r="F179" s="1">
        <v>8</v>
      </c>
      <c r="G179" s="1">
        <v>5</v>
      </c>
      <c r="H179" s="5">
        <v>0</v>
      </c>
      <c r="I179" s="1">
        <v>0</v>
      </c>
      <c r="J179" s="1">
        <f t="shared" si="14"/>
        <v>0</v>
      </c>
    </row>
    <row r="180" spans="1:10">
      <c r="A180" s="1" t="s">
        <v>22</v>
      </c>
      <c r="B180" s="1" t="str">
        <f>"王文杰"</f>
        <v>王文杰</v>
      </c>
      <c r="C180" s="1" t="str">
        <f t="shared" si="20"/>
        <v>女</v>
      </c>
      <c r="D180" s="1" t="str">
        <f t="shared" si="21"/>
        <v>汉族</v>
      </c>
      <c r="E180" s="1" t="str">
        <f>"15062120806"</f>
        <v>15062120806</v>
      </c>
      <c r="F180" s="1">
        <v>8</v>
      </c>
      <c r="G180" s="1">
        <v>6</v>
      </c>
      <c r="H180" s="5">
        <v>52.5</v>
      </c>
      <c r="I180" s="1">
        <v>0</v>
      </c>
      <c r="J180" s="1">
        <f t="shared" si="14"/>
        <v>52.5</v>
      </c>
    </row>
    <row r="181" spans="1:10">
      <c r="A181" s="1" t="s">
        <v>22</v>
      </c>
      <c r="B181" s="1" t="str">
        <f>"韩愫梓"</f>
        <v>韩愫梓</v>
      </c>
      <c r="C181" s="1" t="str">
        <f t="shared" si="20"/>
        <v>女</v>
      </c>
      <c r="D181" s="1" t="str">
        <f t="shared" si="21"/>
        <v>汉族</v>
      </c>
      <c r="E181" s="1" t="str">
        <f>"15062120807"</f>
        <v>15062120807</v>
      </c>
      <c r="F181" s="1">
        <v>8</v>
      </c>
      <c r="G181" s="1">
        <v>7</v>
      </c>
      <c r="H181" s="5">
        <v>0</v>
      </c>
      <c r="I181" s="1">
        <v>0</v>
      </c>
      <c r="J181" s="1">
        <f t="shared" si="14"/>
        <v>0</v>
      </c>
    </row>
    <row r="182" spans="1:10">
      <c r="A182" s="1" t="s">
        <v>22</v>
      </c>
      <c r="B182" s="1" t="str">
        <f>"段丽红"</f>
        <v>段丽红</v>
      </c>
      <c r="C182" s="1" t="str">
        <f t="shared" si="20"/>
        <v>女</v>
      </c>
      <c r="D182" s="1" t="str">
        <f t="shared" si="21"/>
        <v>汉族</v>
      </c>
      <c r="E182" s="1" t="str">
        <f>"15062120808"</f>
        <v>15062120808</v>
      </c>
      <c r="F182" s="1">
        <v>8</v>
      </c>
      <c r="G182" s="1">
        <v>8</v>
      </c>
      <c r="H182" s="5">
        <v>76.5</v>
      </c>
      <c r="I182" s="1">
        <v>0</v>
      </c>
      <c r="J182" s="1">
        <f t="shared" si="14"/>
        <v>76.5</v>
      </c>
    </row>
    <row r="183" spans="1:10">
      <c r="A183" s="1" t="s">
        <v>22</v>
      </c>
      <c r="B183" s="1" t="str">
        <f>"闫红丽"</f>
        <v>闫红丽</v>
      </c>
      <c r="C183" s="1" t="str">
        <f t="shared" si="20"/>
        <v>女</v>
      </c>
      <c r="D183" s="1" t="str">
        <f t="shared" si="21"/>
        <v>汉族</v>
      </c>
      <c r="E183" s="1" t="str">
        <f>"15062120809"</f>
        <v>15062120809</v>
      </c>
      <c r="F183" s="1">
        <v>8</v>
      </c>
      <c r="G183" s="1">
        <v>9</v>
      </c>
      <c r="H183" s="5">
        <v>67.5</v>
      </c>
      <c r="I183" s="1">
        <v>0</v>
      </c>
      <c r="J183" s="1">
        <f t="shared" si="14"/>
        <v>67.5</v>
      </c>
    </row>
    <row r="184" spans="1:10">
      <c r="A184" s="1" t="s">
        <v>22</v>
      </c>
      <c r="B184" s="1" t="str">
        <f>"邬乐"</f>
        <v>邬乐</v>
      </c>
      <c r="C184" s="1" t="str">
        <f>"男"</f>
        <v>男</v>
      </c>
      <c r="D184" s="1" t="str">
        <f t="shared" si="21"/>
        <v>汉族</v>
      </c>
      <c r="E184" s="1" t="str">
        <f>"15062120810"</f>
        <v>15062120810</v>
      </c>
      <c r="F184" s="1">
        <v>8</v>
      </c>
      <c r="G184" s="1">
        <v>10</v>
      </c>
      <c r="H184" s="5">
        <v>0</v>
      </c>
      <c r="I184" s="1">
        <v>0</v>
      </c>
      <c r="J184" s="1">
        <f t="shared" si="14"/>
        <v>0</v>
      </c>
    </row>
    <row r="185" spans="1:10">
      <c r="A185" s="1" t="s">
        <v>22</v>
      </c>
      <c r="B185" s="1" t="str">
        <f>"徐建敏"</f>
        <v>徐建敏</v>
      </c>
      <c r="C185" s="1" t="str">
        <f t="shared" ref="C185:C191" si="22">"女"</f>
        <v>女</v>
      </c>
      <c r="D185" s="1" t="str">
        <f t="shared" si="21"/>
        <v>汉族</v>
      </c>
      <c r="E185" s="1" t="str">
        <f>"15062120811"</f>
        <v>15062120811</v>
      </c>
      <c r="F185" s="1">
        <v>8</v>
      </c>
      <c r="G185" s="1">
        <v>11</v>
      </c>
      <c r="H185" s="5">
        <v>56.5</v>
      </c>
      <c r="I185" s="1">
        <v>0</v>
      </c>
      <c r="J185" s="1">
        <f t="shared" si="14"/>
        <v>56.5</v>
      </c>
    </row>
    <row r="186" spans="1:10">
      <c r="A186" s="1" t="s">
        <v>22</v>
      </c>
      <c r="B186" s="1" t="str">
        <f>"武瑞群"</f>
        <v>武瑞群</v>
      </c>
      <c r="C186" s="1" t="str">
        <f t="shared" si="22"/>
        <v>女</v>
      </c>
      <c r="D186" s="1" t="str">
        <f t="shared" si="21"/>
        <v>汉族</v>
      </c>
      <c r="E186" s="1" t="str">
        <f>"15062120812"</f>
        <v>15062120812</v>
      </c>
      <c r="F186" s="1">
        <v>8</v>
      </c>
      <c r="G186" s="1">
        <v>12</v>
      </c>
      <c r="H186" s="5">
        <v>0</v>
      </c>
      <c r="I186" s="1">
        <v>0</v>
      </c>
      <c r="J186" s="1">
        <f t="shared" si="14"/>
        <v>0</v>
      </c>
    </row>
    <row r="187" spans="1:10">
      <c r="A187" s="1" t="s">
        <v>22</v>
      </c>
      <c r="B187" s="1" t="str">
        <f>"王丽君"</f>
        <v>王丽君</v>
      </c>
      <c r="C187" s="1" t="str">
        <f t="shared" si="22"/>
        <v>女</v>
      </c>
      <c r="D187" s="1" t="str">
        <f t="shared" si="21"/>
        <v>汉族</v>
      </c>
      <c r="E187" s="1" t="str">
        <f>"15062120813"</f>
        <v>15062120813</v>
      </c>
      <c r="F187" s="1">
        <v>8</v>
      </c>
      <c r="G187" s="1">
        <v>13</v>
      </c>
      <c r="H187" s="5">
        <v>53.5</v>
      </c>
      <c r="I187" s="1">
        <v>0</v>
      </c>
      <c r="J187" s="1">
        <f t="shared" si="14"/>
        <v>53.5</v>
      </c>
    </row>
    <row r="188" spans="1:10">
      <c r="A188" s="1" t="s">
        <v>22</v>
      </c>
      <c r="B188" s="1" t="str">
        <f>"安乔"</f>
        <v>安乔</v>
      </c>
      <c r="C188" s="1" t="str">
        <f t="shared" si="22"/>
        <v>女</v>
      </c>
      <c r="D188" s="1" t="str">
        <f t="shared" si="21"/>
        <v>汉族</v>
      </c>
      <c r="E188" s="1" t="str">
        <f>"15062120814"</f>
        <v>15062120814</v>
      </c>
      <c r="F188" s="1">
        <v>8</v>
      </c>
      <c r="G188" s="1">
        <v>14</v>
      </c>
      <c r="H188" s="5">
        <v>0</v>
      </c>
      <c r="I188" s="1">
        <v>0</v>
      </c>
      <c r="J188" s="1">
        <f t="shared" si="14"/>
        <v>0</v>
      </c>
    </row>
    <row r="189" spans="1:10">
      <c r="A189" s="1" t="s">
        <v>22</v>
      </c>
      <c r="B189" s="1" t="str">
        <f>"郭慧"</f>
        <v>郭慧</v>
      </c>
      <c r="C189" s="1" t="str">
        <f t="shared" si="22"/>
        <v>女</v>
      </c>
      <c r="D189" s="1" t="str">
        <f t="shared" si="21"/>
        <v>汉族</v>
      </c>
      <c r="E189" s="1" t="str">
        <f>"15062120815"</f>
        <v>15062120815</v>
      </c>
      <c r="F189" s="1">
        <v>8</v>
      </c>
      <c r="G189" s="1">
        <v>15</v>
      </c>
      <c r="H189" s="5">
        <v>0</v>
      </c>
      <c r="I189" s="1">
        <v>0</v>
      </c>
      <c r="J189" s="1">
        <f t="shared" si="14"/>
        <v>0</v>
      </c>
    </row>
    <row r="190" spans="1:10">
      <c r="A190" s="1" t="s">
        <v>22</v>
      </c>
      <c r="B190" s="1" t="str">
        <f>"余敏"</f>
        <v>余敏</v>
      </c>
      <c r="C190" s="1" t="str">
        <f t="shared" si="22"/>
        <v>女</v>
      </c>
      <c r="D190" s="1" t="str">
        <f t="shared" si="21"/>
        <v>汉族</v>
      </c>
      <c r="E190" s="1" t="str">
        <f>"15062120816"</f>
        <v>15062120816</v>
      </c>
      <c r="F190" s="1">
        <v>8</v>
      </c>
      <c r="G190" s="1">
        <v>16</v>
      </c>
      <c r="H190" s="5">
        <v>0</v>
      </c>
      <c r="I190" s="1">
        <v>0</v>
      </c>
      <c r="J190" s="1">
        <f t="shared" si="14"/>
        <v>0</v>
      </c>
    </row>
    <row r="191" spans="1:10">
      <c r="A191" s="1" t="s">
        <v>22</v>
      </c>
      <c r="B191" s="1" t="str">
        <f>"陈宏"</f>
        <v>陈宏</v>
      </c>
      <c r="C191" s="1" t="str">
        <f t="shared" si="22"/>
        <v>女</v>
      </c>
      <c r="D191" s="1" t="str">
        <f t="shared" si="21"/>
        <v>汉族</v>
      </c>
      <c r="E191" s="1" t="str">
        <f>"15062120817"</f>
        <v>15062120817</v>
      </c>
      <c r="F191" s="1">
        <v>8</v>
      </c>
      <c r="G191" s="1">
        <v>17</v>
      </c>
      <c r="H191" s="5">
        <v>0</v>
      </c>
      <c r="I191" s="1">
        <v>0</v>
      </c>
      <c r="J191" s="1">
        <f t="shared" si="14"/>
        <v>0</v>
      </c>
    </row>
    <row r="192" spans="1:10">
      <c r="A192" s="1" t="s">
        <v>22</v>
      </c>
      <c r="B192" s="1" t="str">
        <f>"刘伟"</f>
        <v>刘伟</v>
      </c>
      <c r="C192" s="1" t="str">
        <f>"男"</f>
        <v>男</v>
      </c>
      <c r="D192" s="1" t="str">
        <f t="shared" si="21"/>
        <v>汉族</v>
      </c>
      <c r="E192" s="1" t="str">
        <f>"15062120818"</f>
        <v>15062120818</v>
      </c>
      <c r="F192" s="1">
        <v>8</v>
      </c>
      <c r="G192" s="1">
        <v>18</v>
      </c>
      <c r="H192" s="5">
        <v>0</v>
      </c>
      <c r="I192" s="1">
        <v>0</v>
      </c>
      <c r="J192" s="1">
        <f t="shared" si="14"/>
        <v>0</v>
      </c>
    </row>
    <row r="193" spans="1:10">
      <c r="A193" s="1" t="s">
        <v>22</v>
      </c>
      <c r="B193" s="1" t="str">
        <f>"袁孟瑞"</f>
        <v>袁孟瑞</v>
      </c>
      <c r="C193" s="1" t="str">
        <f t="shared" ref="C193:C200" si="23">"女"</f>
        <v>女</v>
      </c>
      <c r="D193" s="1" t="str">
        <f>"回族"</f>
        <v>回族</v>
      </c>
      <c r="E193" s="1" t="str">
        <f>"15062120819"</f>
        <v>15062120819</v>
      </c>
      <c r="F193" s="1">
        <v>8</v>
      </c>
      <c r="G193" s="1">
        <v>19</v>
      </c>
      <c r="H193" s="5">
        <v>0</v>
      </c>
      <c r="I193" s="1">
        <v>0</v>
      </c>
      <c r="J193" s="1">
        <f t="shared" si="14"/>
        <v>0</v>
      </c>
    </row>
    <row r="194" spans="1:10">
      <c r="A194" s="1" t="s">
        <v>22</v>
      </c>
      <c r="B194" s="1" t="str">
        <f>"李丹"</f>
        <v>李丹</v>
      </c>
      <c r="C194" s="1" t="str">
        <f t="shared" si="23"/>
        <v>女</v>
      </c>
      <c r="D194" s="1" t="str">
        <f>"汉族"</f>
        <v>汉族</v>
      </c>
      <c r="E194" s="1" t="str">
        <f>"15062120820"</f>
        <v>15062120820</v>
      </c>
      <c r="F194" s="1">
        <v>8</v>
      </c>
      <c r="G194" s="1">
        <v>20</v>
      </c>
      <c r="H194" s="5">
        <v>61.5</v>
      </c>
      <c r="I194" s="1">
        <v>0</v>
      </c>
      <c r="J194" s="1">
        <f t="shared" si="14"/>
        <v>61.5</v>
      </c>
    </row>
    <row r="195" spans="1:10">
      <c r="A195" s="1" t="s">
        <v>22</v>
      </c>
      <c r="B195" s="1" t="str">
        <f>"张西贝"</f>
        <v>张西贝</v>
      </c>
      <c r="C195" s="1" t="str">
        <f t="shared" si="23"/>
        <v>女</v>
      </c>
      <c r="D195" s="1" t="str">
        <f>"汉族"</f>
        <v>汉族</v>
      </c>
      <c r="E195" s="1" t="str">
        <f>"15062120821"</f>
        <v>15062120821</v>
      </c>
      <c r="F195" s="1">
        <v>8</v>
      </c>
      <c r="G195" s="1">
        <v>21</v>
      </c>
      <c r="H195" s="5">
        <v>0</v>
      </c>
      <c r="I195" s="1">
        <v>0</v>
      </c>
      <c r="J195" s="1">
        <f t="shared" ref="J195:J258" si="24">H195+I195</f>
        <v>0</v>
      </c>
    </row>
    <row r="196" spans="1:10">
      <c r="A196" s="1" t="s">
        <v>22</v>
      </c>
      <c r="B196" s="1" t="str">
        <f>"侯银瑞"</f>
        <v>侯银瑞</v>
      </c>
      <c r="C196" s="1" t="str">
        <f t="shared" si="23"/>
        <v>女</v>
      </c>
      <c r="D196" s="1" t="str">
        <f>"蒙古族"</f>
        <v>蒙古族</v>
      </c>
      <c r="E196" s="1" t="str">
        <f>"15062120822"</f>
        <v>15062120822</v>
      </c>
      <c r="F196" s="1">
        <v>8</v>
      </c>
      <c r="G196" s="1">
        <v>22</v>
      </c>
      <c r="H196" s="5">
        <v>67</v>
      </c>
      <c r="I196" s="1">
        <v>2.5</v>
      </c>
      <c r="J196" s="1">
        <f t="shared" si="24"/>
        <v>69.5</v>
      </c>
    </row>
    <row r="197" spans="1:10">
      <c r="A197" s="1" t="s">
        <v>22</v>
      </c>
      <c r="B197" s="1" t="str">
        <f>"白瑞"</f>
        <v>白瑞</v>
      </c>
      <c r="C197" s="1" t="str">
        <f t="shared" si="23"/>
        <v>女</v>
      </c>
      <c r="D197" s="1" t="str">
        <f t="shared" ref="D197:D207" si="25">"汉族"</f>
        <v>汉族</v>
      </c>
      <c r="E197" s="1" t="str">
        <f>"15062120823"</f>
        <v>15062120823</v>
      </c>
      <c r="F197" s="1">
        <v>8</v>
      </c>
      <c r="G197" s="1">
        <v>23</v>
      </c>
      <c r="H197" s="5">
        <v>0</v>
      </c>
      <c r="I197" s="1">
        <v>0</v>
      </c>
      <c r="J197" s="1">
        <f t="shared" si="24"/>
        <v>0</v>
      </c>
    </row>
    <row r="198" spans="1:10">
      <c r="A198" s="1" t="s">
        <v>22</v>
      </c>
      <c r="B198" s="1" t="str">
        <f>"任丽珍"</f>
        <v>任丽珍</v>
      </c>
      <c r="C198" s="1" t="str">
        <f t="shared" si="23"/>
        <v>女</v>
      </c>
      <c r="D198" s="1" t="str">
        <f t="shared" si="25"/>
        <v>汉族</v>
      </c>
      <c r="E198" s="1" t="str">
        <f>"15062120824"</f>
        <v>15062120824</v>
      </c>
      <c r="F198" s="1">
        <v>8</v>
      </c>
      <c r="G198" s="1">
        <v>24</v>
      </c>
      <c r="H198" s="5">
        <v>0</v>
      </c>
      <c r="I198" s="1">
        <v>0</v>
      </c>
      <c r="J198" s="1">
        <f t="shared" si="24"/>
        <v>0</v>
      </c>
    </row>
    <row r="199" spans="1:10">
      <c r="A199" s="1" t="s">
        <v>22</v>
      </c>
      <c r="B199" s="1" t="str">
        <f>"高倩"</f>
        <v>高倩</v>
      </c>
      <c r="C199" s="1" t="str">
        <f t="shared" si="23"/>
        <v>女</v>
      </c>
      <c r="D199" s="1" t="str">
        <f t="shared" si="25"/>
        <v>汉族</v>
      </c>
      <c r="E199" s="1" t="str">
        <f>"15062120825"</f>
        <v>15062120825</v>
      </c>
      <c r="F199" s="1">
        <v>8</v>
      </c>
      <c r="G199" s="1">
        <v>25</v>
      </c>
      <c r="H199" s="5">
        <v>0</v>
      </c>
      <c r="I199" s="1">
        <v>0</v>
      </c>
      <c r="J199" s="1">
        <f t="shared" si="24"/>
        <v>0</v>
      </c>
    </row>
    <row r="200" spans="1:10">
      <c r="A200" s="1" t="s">
        <v>22</v>
      </c>
      <c r="B200" s="1" t="str">
        <f>"田翠苗"</f>
        <v>田翠苗</v>
      </c>
      <c r="C200" s="1" t="str">
        <f t="shared" si="23"/>
        <v>女</v>
      </c>
      <c r="D200" s="1" t="str">
        <f t="shared" si="25"/>
        <v>汉族</v>
      </c>
      <c r="E200" s="1" t="str">
        <f>"15062120826"</f>
        <v>15062120826</v>
      </c>
      <c r="F200" s="1">
        <v>8</v>
      </c>
      <c r="G200" s="1">
        <v>26</v>
      </c>
      <c r="H200" s="5">
        <v>48.5</v>
      </c>
      <c r="I200" s="1">
        <v>0</v>
      </c>
      <c r="J200" s="1">
        <f t="shared" si="24"/>
        <v>48.5</v>
      </c>
    </row>
    <row r="201" spans="1:10">
      <c r="A201" s="1" t="s">
        <v>22</v>
      </c>
      <c r="B201" s="1" t="str">
        <f>"李健"</f>
        <v>李健</v>
      </c>
      <c r="C201" s="1" t="str">
        <f>"男"</f>
        <v>男</v>
      </c>
      <c r="D201" s="1" t="str">
        <f t="shared" si="25"/>
        <v>汉族</v>
      </c>
      <c r="E201" s="1" t="str">
        <f>"15062120827"</f>
        <v>15062120827</v>
      </c>
      <c r="F201" s="1">
        <v>8</v>
      </c>
      <c r="G201" s="1">
        <v>27</v>
      </c>
      <c r="H201" s="5">
        <v>54</v>
      </c>
      <c r="I201" s="1">
        <v>0</v>
      </c>
      <c r="J201" s="1">
        <f t="shared" si="24"/>
        <v>54</v>
      </c>
    </row>
    <row r="202" spans="1:10">
      <c r="A202" s="1" t="s">
        <v>22</v>
      </c>
      <c r="B202" s="1" t="str">
        <f>"韩璐瑶"</f>
        <v>韩璐瑶</v>
      </c>
      <c r="C202" s="1" t="str">
        <f>"女"</f>
        <v>女</v>
      </c>
      <c r="D202" s="1" t="str">
        <f t="shared" si="25"/>
        <v>汉族</v>
      </c>
      <c r="E202" s="1" t="str">
        <f>"15062120828"</f>
        <v>15062120828</v>
      </c>
      <c r="F202" s="1">
        <v>8</v>
      </c>
      <c r="G202" s="1">
        <v>28</v>
      </c>
      <c r="H202" s="5">
        <v>64.5</v>
      </c>
      <c r="I202" s="1">
        <v>0</v>
      </c>
      <c r="J202" s="1">
        <f t="shared" si="24"/>
        <v>64.5</v>
      </c>
    </row>
    <row r="203" spans="1:10">
      <c r="A203" s="1" t="s">
        <v>22</v>
      </c>
      <c r="B203" s="1" t="str">
        <f>"侯倩"</f>
        <v>侯倩</v>
      </c>
      <c r="C203" s="1" t="str">
        <f>"女"</f>
        <v>女</v>
      </c>
      <c r="D203" s="1" t="str">
        <f t="shared" si="25"/>
        <v>汉族</v>
      </c>
      <c r="E203" s="1" t="str">
        <f>"15062120829"</f>
        <v>15062120829</v>
      </c>
      <c r="F203" s="1">
        <v>8</v>
      </c>
      <c r="G203" s="1">
        <v>29</v>
      </c>
      <c r="H203" s="5">
        <v>71.5</v>
      </c>
      <c r="I203" s="1">
        <v>0</v>
      </c>
      <c r="J203" s="1">
        <f t="shared" si="24"/>
        <v>71.5</v>
      </c>
    </row>
    <row r="204" spans="1:10">
      <c r="A204" s="1" t="s">
        <v>22</v>
      </c>
      <c r="B204" s="1" t="str">
        <f>"闫蓉"</f>
        <v>闫蓉</v>
      </c>
      <c r="C204" s="1" t="str">
        <f>"女"</f>
        <v>女</v>
      </c>
      <c r="D204" s="1" t="str">
        <f t="shared" si="25"/>
        <v>汉族</v>
      </c>
      <c r="E204" s="1" t="str">
        <f>"15062120830"</f>
        <v>15062120830</v>
      </c>
      <c r="F204" s="1">
        <v>8</v>
      </c>
      <c r="G204" s="1">
        <v>30</v>
      </c>
      <c r="H204" s="5">
        <v>69.5</v>
      </c>
      <c r="I204" s="1">
        <v>0</v>
      </c>
      <c r="J204" s="1">
        <f t="shared" si="24"/>
        <v>69.5</v>
      </c>
    </row>
    <row r="205" spans="1:10">
      <c r="A205" s="1" t="s">
        <v>22</v>
      </c>
      <c r="B205" s="1" t="str">
        <f>"詹小林"</f>
        <v>詹小林</v>
      </c>
      <c r="C205" s="1" t="str">
        <f>"男"</f>
        <v>男</v>
      </c>
      <c r="D205" s="1" t="str">
        <f t="shared" si="25"/>
        <v>汉族</v>
      </c>
      <c r="E205" s="1" t="str">
        <f>"15062120901"</f>
        <v>15062120901</v>
      </c>
      <c r="F205" s="1">
        <v>9</v>
      </c>
      <c r="G205" s="1">
        <v>1</v>
      </c>
      <c r="H205" s="5">
        <v>0</v>
      </c>
      <c r="I205" s="1">
        <v>0</v>
      </c>
      <c r="J205" s="1">
        <f t="shared" si="24"/>
        <v>0</v>
      </c>
    </row>
    <row r="206" spans="1:10">
      <c r="A206" s="1" t="s">
        <v>22</v>
      </c>
      <c r="B206" s="1" t="str">
        <f>"谢彩虹"</f>
        <v>谢彩虹</v>
      </c>
      <c r="C206" s="1" t="str">
        <f t="shared" ref="C206:C226" si="26">"女"</f>
        <v>女</v>
      </c>
      <c r="D206" s="1" t="str">
        <f t="shared" si="25"/>
        <v>汉族</v>
      </c>
      <c r="E206" s="1" t="str">
        <f>"15062120902"</f>
        <v>15062120902</v>
      </c>
      <c r="F206" s="1">
        <v>9</v>
      </c>
      <c r="G206" s="1">
        <v>2</v>
      </c>
      <c r="H206" s="5">
        <v>64.5</v>
      </c>
      <c r="I206" s="1">
        <v>0</v>
      </c>
      <c r="J206" s="1">
        <f t="shared" si="24"/>
        <v>64.5</v>
      </c>
    </row>
    <row r="207" spans="1:10">
      <c r="A207" s="1" t="s">
        <v>22</v>
      </c>
      <c r="B207" s="1" t="str">
        <f>"付迪园"</f>
        <v>付迪园</v>
      </c>
      <c r="C207" s="1" t="str">
        <f t="shared" si="26"/>
        <v>女</v>
      </c>
      <c r="D207" s="1" t="str">
        <f t="shared" si="25"/>
        <v>汉族</v>
      </c>
      <c r="E207" s="1" t="str">
        <f>"15062120903"</f>
        <v>15062120903</v>
      </c>
      <c r="F207" s="1">
        <v>9</v>
      </c>
      <c r="G207" s="1">
        <v>3</v>
      </c>
      <c r="H207" s="5">
        <v>43.5</v>
      </c>
      <c r="I207" s="1">
        <v>0</v>
      </c>
      <c r="J207" s="1">
        <f t="shared" si="24"/>
        <v>43.5</v>
      </c>
    </row>
    <row r="208" spans="1:10">
      <c r="A208" s="1" t="s">
        <v>22</v>
      </c>
      <c r="B208" s="1" t="str">
        <f>"黄晶晶"</f>
        <v>黄晶晶</v>
      </c>
      <c r="C208" s="1" t="str">
        <f t="shared" si="26"/>
        <v>女</v>
      </c>
      <c r="D208" s="1" t="str">
        <f>"蒙古族"</f>
        <v>蒙古族</v>
      </c>
      <c r="E208" s="1" t="str">
        <f>"15062120904"</f>
        <v>15062120904</v>
      </c>
      <c r="F208" s="1">
        <v>9</v>
      </c>
      <c r="G208" s="1">
        <v>4</v>
      </c>
      <c r="H208" s="5">
        <v>0</v>
      </c>
      <c r="I208" s="1">
        <v>0</v>
      </c>
      <c r="J208" s="1">
        <f t="shared" si="24"/>
        <v>0</v>
      </c>
    </row>
    <row r="209" spans="1:10">
      <c r="A209" s="1" t="s">
        <v>22</v>
      </c>
      <c r="B209" s="1" t="str">
        <f>"牛芬"</f>
        <v>牛芬</v>
      </c>
      <c r="C209" s="1" t="str">
        <f t="shared" si="26"/>
        <v>女</v>
      </c>
      <c r="D209" s="1" t="str">
        <f>"汉族"</f>
        <v>汉族</v>
      </c>
      <c r="E209" s="1" t="str">
        <f>"15062120905"</f>
        <v>15062120905</v>
      </c>
      <c r="F209" s="1">
        <v>9</v>
      </c>
      <c r="G209" s="1">
        <v>5</v>
      </c>
      <c r="H209" s="5">
        <v>72</v>
      </c>
      <c r="I209" s="1">
        <v>0</v>
      </c>
      <c r="J209" s="1">
        <f t="shared" si="24"/>
        <v>72</v>
      </c>
    </row>
    <row r="210" spans="1:10">
      <c r="A210" s="1" t="s">
        <v>22</v>
      </c>
      <c r="B210" s="1" t="str">
        <f>"张雅榕"</f>
        <v>张雅榕</v>
      </c>
      <c r="C210" s="1" t="str">
        <f t="shared" si="26"/>
        <v>女</v>
      </c>
      <c r="D210" s="1" t="str">
        <f>"汉族"</f>
        <v>汉族</v>
      </c>
      <c r="E210" s="1" t="str">
        <f>"15062120906"</f>
        <v>15062120906</v>
      </c>
      <c r="F210" s="1">
        <v>9</v>
      </c>
      <c r="G210" s="1">
        <v>6</v>
      </c>
      <c r="H210" s="5">
        <v>60</v>
      </c>
      <c r="I210" s="1">
        <v>0</v>
      </c>
      <c r="J210" s="1">
        <f t="shared" si="24"/>
        <v>60</v>
      </c>
    </row>
    <row r="211" spans="1:10">
      <c r="A211" s="1" t="s">
        <v>22</v>
      </c>
      <c r="B211" s="1" t="str">
        <f>"高竹青"</f>
        <v>高竹青</v>
      </c>
      <c r="C211" s="1" t="str">
        <f t="shared" si="26"/>
        <v>女</v>
      </c>
      <c r="D211" s="1" t="str">
        <f>"汉族"</f>
        <v>汉族</v>
      </c>
      <c r="E211" s="1" t="str">
        <f>"15062120907"</f>
        <v>15062120907</v>
      </c>
      <c r="F211" s="1">
        <v>9</v>
      </c>
      <c r="G211" s="1">
        <v>7</v>
      </c>
      <c r="H211" s="5">
        <v>0</v>
      </c>
      <c r="I211" s="1">
        <v>0</v>
      </c>
      <c r="J211" s="1">
        <f t="shared" si="24"/>
        <v>0</v>
      </c>
    </row>
    <row r="212" spans="1:10">
      <c r="A212" s="1" t="s">
        <v>22</v>
      </c>
      <c r="B212" s="1" t="str">
        <f>"娜日格勒"</f>
        <v>娜日格勒</v>
      </c>
      <c r="C212" s="1" t="str">
        <f t="shared" si="26"/>
        <v>女</v>
      </c>
      <c r="D212" s="1" t="str">
        <f>"蒙古族"</f>
        <v>蒙古族</v>
      </c>
      <c r="E212" s="1" t="str">
        <f>"15062120908"</f>
        <v>15062120908</v>
      </c>
      <c r="F212" s="1">
        <v>9</v>
      </c>
      <c r="G212" s="1">
        <v>8</v>
      </c>
      <c r="H212" s="5">
        <v>53</v>
      </c>
      <c r="I212" s="1">
        <v>2.5</v>
      </c>
      <c r="J212" s="1">
        <f t="shared" si="24"/>
        <v>55.5</v>
      </c>
    </row>
    <row r="213" spans="1:10">
      <c r="A213" s="1" t="s">
        <v>22</v>
      </c>
      <c r="B213" s="1" t="str">
        <f>"于倩"</f>
        <v>于倩</v>
      </c>
      <c r="C213" s="1" t="str">
        <f t="shared" si="26"/>
        <v>女</v>
      </c>
      <c r="D213" s="1" t="str">
        <f>"汉族"</f>
        <v>汉族</v>
      </c>
      <c r="E213" s="1" t="str">
        <f>"15062120909"</f>
        <v>15062120909</v>
      </c>
      <c r="F213" s="1">
        <v>9</v>
      </c>
      <c r="G213" s="1">
        <v>9</v>
      </c>
      <c r="H213" s="5">
        <v>64</v>
      </c>
      <c r="I213" s="1">
        <v>0</v>
      </c>
      <c r="J213" s="1">
        <f t="shared" si="24"/>
        <v>64</v>
      </c>
    </row>
    <row r="214" spans="1:10">
      <c r="A214" s="1" t="s">
        <v>22</v>
      </c>
      <c r="B214" s="1" t="str">
        <f>"杨豆"</f>
        <v>杨豆</v>
      </c>
      <c r="C214" s="1" t="str">
        <f t="shared" si="26"/>
        <v>女</v>
      </c>
      <c r="D214" s="1" t="str">
        <f>"蒙古族"</f>
        <v>蒙古族</v>
      </c>
      <c r="E214" s="1" t="str">
        <f>"15062120910"</f>
        <v>15062120910</v>
      </c>
      <c r="F214" s="1">
        <v>9</v>
      </c>
      <c r="G214" s="1">
        <v>10</v>
      </c>
      <c r="H214" s="5">
        <v>73.5</v>
      </c>
      <c r="I214" s="1">
        <v>2.5</v>
      </c>
      <c r="J214" s="1">
        <f t="shared" si="24"/>
        <v>76</v>
      </c>
    </row>
    <row r="215" spans="1:10">
      <c r="A215" s="1" t="s">
        <v>22</v>
      </c>
      <c r="B215" s="1" t="str">
        <f>"郭蓉"</f>
        <v>郭蓉</v>
      </c>
      <c r="C215" s="1" t="str">
        <f t="shared" si="26"/>
        <v>女</v>
      </c>
      <c r="D215" s="1" t="str">
        <f t="shared" ref="D215:D235" si="27">"汉族"</f>
        <v>汉族</v>
      </c>
      <c r="E215" s="1" t="str">
        <f>"15062120911"</f>
        <v>15062120911</v>
      </c>
      <c r="F215" s="1">
        <v>9</v>
      </c>
      <c r="G215" s="1">
        <v>11</v>
      </c>
      <c r="H215" s="5">
        <v>0</v>
      </c>
      <c r="I215" s="1">
        <v>0</v>
      </c>
      <c r="J215" s="1">
        <f t="shared" si="24"/>
        <v>0</v>
      </c>
    </row>
    <row r="216" spans="1:10">
      <c r="A216" s="1" t="s">
        <v>22</v>
      </c>
      <c r="B216" s="1" t="str">
        <f>"薛瑞"</f>
        <v>薛瑞</v>
      </c>
      <c r="C216" s="1" t="str">
        <f t="shared" si="26"/>
        <v>女</v>
      </c>
      <c r="D216" s="1" t="str">
        <f t="shared" si="27"/>
        <v>汉族</v>
      </c>
      <c r="E216" s="1" t="str">
        <f>"15062120912"</f>
        <v>15062120912</v>
      </c>
      <c r="F216" s="1">
        <v>9</v>
      </c>
      <c r="G216" s="1">
        <v>12</v>
      </c>
      <c r="H216" s="5">
        <v>69</v>
      </c>
      <c r="I216" s="1">
        <v>0</v>
      </c>
      <c r="J216" s="1">
        <f t="shared" si="24"/>
        <v>69</v>
      </c>
    </row>
    <row r="217" spans="1:10">
      <c r="A217" s="1" t="s">
        <v>22</v>
      </c>
      <c r="B217" s="1" t="str">
        <f>"刘桂芳"</f>
        <v>刘桂芳</v>
      </c>
      <c r="C217" s="1" t="str">
        <f t="shared" si="26"/>
        <v>女</v>
      </c>
      <c r="D217" s="1" t="str">
        <f t="shared" si="27"/>
        <v>汉族</v>
      </c>
      <c r="E217" s="1" t="str">
        <f>"15062120913"</f>
        <v>15062120913</v>
      </c>
      <c r="F217" s="1">
        <v>9</v>
      </c>
      <c r="G217" s="1">
        <v>13</v>
      </c>
      <c r="H217" s="5">
        <v>0</v>
      </c>
      <c r="I217" s="1">
        <v>0</v>
      </c>
      <c r="J217" s="1">
        <f t="shared" si="24"/>
        <v>0</v>
      </c>
    </row>
    <row r="218" spans="1:10">
      <c r="A218" s="1" t="s">
        <v>22</v>
      </c>
      <c r="B218" s="1" t="str">
        <f>"杨玉梅"</f>
        <v>杨玉梅</v>
      </c>
      <c r="C218" s="1" t="str">
        <f t="shared" si="26"/>
        <v>女</v>
      </c>
      <c r="D218" s="1" t="str">
        <f t="shared" si="27"/>
        <v>汉族</v>
      </c>
      <c r="E218" s="1" t="str">
        <f>"15062120914"</f>
        <v>15062120914</v>
      </c>
      <c r="F218" s="1">
        <v>9</v>
      </c>
      <c r="G218" s="1">
        <v>14</v>
      </c>
      <c r="H218" s="5">
        <v>0</v>
      </c>
      <c r="I218" s="1">
        <v>0</v>
      </c>
      <c r="J218" s="1">
        <f t="shared" si="24"/>
        <v>0</v>
      </c>
    </row>
    <row r="219" spans="1:10">
      <c r="A219" s="1" t="s">
        <v>22</v>
      </c>
      <c r="B219" s="1" t="str">
        <f>"李慧"</f>
        <v>李慧</v>
      </c>
      <c r="C219" s="1" t="str">
        <f t="shared" si="26"/>
        <v>女</v>
      </c>
      <c r="D219" s="1" t="str">
        <f t="shared" si="27"/>
        <v>汉族</v>
      </c>
      <c r="E219" s="1" t="str">
        <f>"15062120915"</f>
        <v>15062120915</v>
      </c>
      <c r="F219" s="1">
        <v>9</v>
      </c>
      <c r="G219" s="1">
        <v>15</v>
      </c>
      <c r="H219" s="5">
        <v>0</v>
      </c>
      <c r="I219" s="1">
        <v>0</v>
      </c>
      <c r="J219" s="1">
        <f t="shared" si="24"/>
        <v>0</v>
      </c>
    </row>
    <row r="220" spans="1:10">
      <c r="A220" s="1" t="s">
        <v>22</v>
      </c>
      <c r="B220" s="1" t="str">
        <f>"王媛"</f>
        <v>王媛</v>
      </c>
      <c r="C220" s="1" t="str">
        <f t="shared" si="26"/>
        <v>女</v>
      </c>
      <c r="D220" s="1" t="str">
        <f t="shared" si="27"/>
        <v>汉族</v>
      </c>
      <c r="E220" s="1" t="str">
        <f>"15062120916"</f>
        <v>15062120916</v>
      </c>
      <c r="F220" s="1">
        <v>9</v>
      </c>
      <c r="G220" s="1">
        <v>16</v>
      </c>
      <c r="H220" s="5">
        <v>0</v>
      </c>
      <c r="I220" s="1">
        <v>0</v>
      </c>
      <c r="J220" s="1">
        <f t="shared" si="24"/>
        <v>0</v>
      </c>
    </row>
    <row r="221" spans="1:10">
      <c r="A221" s="1" t="s">
        <v>22</v>
      </c>
      <c r="B221" s="1" t="str">
        <f>"杨红丽"</f>
        <v>杨红丽</v>
      </c>
      <c r="C221" s="1" t="str">
        <f t="shared" si="26"/>
        <v>女</v>
      </c>
      <c r="D221" s="1" t="str">
        <f t="shared" si="27"/>
        <v>汉族</v>
      </c>
      <c r="E221" s="1" t="str">
        <f>"15062120917"</f>
        <v>15062120917</v>
      </c>
      <c r="F221" s="1">
        <v>9</v>
      </c>
      <c r="G221" s="1">
        <v>17</v>
      </c>
      <c r="H221" s="5">
        <v>73.5</v>
      </c>
      <c r="I221" s="1">
        <v>0</v>
      </c>
      <c r="J221" s="1">
        <f t="shared" si="24"/>
        <v>73.5</v>
      </c>
    </row>
    <row r="222" spans="1:10">
      <c r="A222" s="1" t="s">
        <v>22</v>
      </c>
      <c r="B222" s="1" t="str">
        <f>"张晓波"</f>
        <v>张晓波</v>
      </c>
      <c r="C222" s="1" t="str">
        <f t="shared" si="26"/>
        <v>女</v>
      </c>
      <c r="D222" s="1" t="str">
        <f t="shared" si="27"/>
        <v>汉族</v>
      </c>
      <c r="E222" s="1" t="str">
        <f>"15062120918"</f>
        <v>15062120918</v>
      </c>
      <c r="F222" s="1">
        <v>9</v>
      </c>
      <c r="G222" s="1">
        <v>18</v>
      </c>
      <c r="H222" s="5">
        <v>62</v>
      </c>
      <c r="I222" s="1">
        <v>0</v>
      </c>
      <c r="J222" s="1">
        <f t="shared" si="24"/>
        <v>62</v>
      </c>
    </row>
    <row r="223" spans="1:10">
      <c r="A223" s="1" t="s">
        <v>22</v>
      </c>
      <c r="B223" s="1" t="str">
        <f>"李红艳"</f>
        <v>李红艳</v>
      </c>
      <c r="C223" s="1" t="str">
        <f t="shared" si="26"/>
        <v>女</v>
      </c>
      <c r="D223" s="1" t="str">
        <f t="shared" si="27"/>
        <v>汉族</v>
      </c>
      <c r="E223" s="1" t="str">
        <f>"15062120919"</f>
        <v>15062120919</v>
      </c>
      <c r="F223" s="1">
        <v>9</v>
      </c>
      <c r="G223" s="1">
        <v>19</v>
      </c>
      <c r="H223" s="5">
        <v>0</v>
      </c>
      <c r="I223" s="1">
        <v>0</v>
      </c>
      <c r="J223" s="1">
        <f t="shared" si="24"/>
        <v>0</v>
      </c>
    </row>
    <row r="224" spans="1:10">
      <c r="A224" s="1" t="s">
        <v>22</v>
      </c>
      <c r="B224" s="1" t="str">
        <f>"吕海艳"</f>
        <v>吕海艳</v>
      </c>
      <c r="C224" s="1" t="str">
        <f t="shared" si="26"/>
        <v>女</v>
      </c>
      <c r="D224" s="1" t="str">
        <f t="shared" si="27"/>
        <v>汉族</v>
      </c>
      <c r="E224" s="1" t="str">
        <f>"15062120920"</f>
        <v>15062120920</v>
      </c>
      <c r="F224" s="1">
        <v>9</v>
      </c>
      <c r="G224" s="1">
        <v>20</v>
      </c>
      <c r="H224" s="5">
        <v>68</v>
      </c>
      <c r="I224" s="1">
        <v>0</v>
      </c>
      <c r="J224" s="1">
        <f t="shared" si="24"/>
        <v>68</v>
      </c>
    </row>
    <row r="225" spans="1:10">
      <c r="A225" s="1" t="s">
        <v>22</v>
      </c>
      <c r="B225" s="1" t="str">
        <f>"崔凯涵"</f>
        <v>崔凯涵</v>
      </c>
      <c r="C225" s="1" t="str">
        <f t="shared" si="26"/>
        <v>女</v>
      </c>
      <c r="D225" s="1" t="str">
        <f t="shared" si="27"/>
        <v>汉族</v>
      </c>
      <c r="E225" s="1" t="str">
        <f>"15062120921"</f>
        <v>15062120921</v>
      </c>
      <c r="F225" s="1">
        <v>9</v>
      </c>
      <c r="G225" s="1">
        <v>21</v>
      </c>
      <c r="H225" s="5">
        <v>0</v>
      </c>
      <c r="I225" s="1">
        <v>0</v>
      </c>
      <c r="J225" s="1">
        <f t="shared" si="24"/>
        <v>0</v>
      </c>
    </row>
    <row r="226" spans="1:10">
      <c r="A226" s="1" t="s">
        <v>22</v>
      </c>
      <c r="B226" s="1" t="str">
        <f>"王艳"</f>
        <v>王艳</v>
      </c>
      <c r="C226" s="1" t="str">
        <f t="shared" si="26"/>
        <v>女</v>
      </c>
      <c r="D226" s="1" t="str">
        <f t="shared" si="27"/>
        <v>汉族</v>
      </c>
      <c r="E226" s="1" t="str">
        <f>"15062120922"</f>
        <v>15062120922</v>
      </c>
      <c r="F226" s="1">
        <v>9</v>
      </c>
      <c r="G226" s="1">
        <v>22</v>
      </c>
      <c r="H226" s="5">
        <v>0</v>
      </c>
      <c r="I226" s="1">
        <v>0</v>
      </c>
      <c r="J226" s="1">
        <f t="shared" si="24"/>
        <v>0</v>
      </c>
    </row>
    <row r="227" spans="1:10">
      <c r="A227" s="1" t="s">
        <v>22</v>
      </c>
      <c r="B227" s="1" t="str">
        <f>"杨磊"</f>
        <v>杨磊</v>
      </c>
      <c r="C227" s="1" t="str">
        <f>"男"</f>
        <v>男</v>
      </c>
      <c r="D227" s="1" t="str">
        <f t="shared" si="27"/>
        <v>汉族</v>
      </c>
      <c r="E227" s="1" t="str">
        <f>"15062120923"</f>
        <v>15062120923</v>
      </c>
      <c r="F227" s="1">
        <v>9</v>
      </c>
      <c r="G227" s="1">
        <v>23</v>
      </c>
      <c r="H227" s="5">
        <v>0</v>
      </c>
      <c r="I227" s="1">
        <v>0</v>
      </c>
      <c r="J227" s="1">
        <f t="shared" si="24"/>
        <v>0</v>
      </c>
    </row>
    <row r="228" spans="1:10">
      <c r="A228" s="1" t="s">
        <v>22</v>
      </c>
      <c r="B228" s="1" t="str">
        <f>"邱怡"</f>
        <v>邱怡</v>
      </c>
      <c r="C228" s="1" t="str">
        <f t="shared" ref="C228:C241" si="28">"女"</f>
        <v>女</v>
      </c>
      <c r="D228" s="1" t="str">
        <f t="shared" si="27"/>
        <v>汉族</v>
      </c>
      <c r="E228" s="1" t="str">
        <f>"15062120924"</f>
        <v>15062120924</v>
      </c>
      <c r="F228" s="1">
        <v>9</v>
      </c>
      <c r="G228" s="1">
        <v>24</v>
      </c>
      <c r="H228" s="5">
        <v>0</v>
      </c>
      <c r="I228" s="1">
        <v>0</v>
      </c>
      <c r="J228" s="1">
        <f t="shared" si="24"/>
        <v>0</v>
      </c>
    </row>
    <row r="229" spans="1:10">
      <c r="A229" s="1" t="s">
        <v>22</v>
      </c>
      <c r="B229" s="1" t="str">
        <f>"郭欣"</f>
        <v>郭欣</v>
      </c>
      <c r="C229" s="1" t="str">
        <f t="shared" si="28"/>
        <v>女</v>
      </c>
      <c r="D229" s="1" t="str">
        <f t="shared" si="27"/>
        <v>汉族</v>
      </c>
      <c r="E229" s="1" t="str">
        <f>"15062120925"</f>
        <v>15062120925</v>
      </c>
      <c r="F229" s="1">
        <v>9</v>
      </c>
      <c r="G229" s="1">
        <v>25</v>
      </c>
      <c r="H229" s="5">
        <v>0</v>
      </c>
      <c r="I229" s="1">
        <v>0</v>
      </c>
      <c r="J229" s="1">
        <f t="shared" si="24"/>
        <v>0</v>
      </c>
    </row>
    <row r="230" spans="1:10">
      <c r="A230" s="1" t="s">
        <v>22</v>
      </c>
      <c r="B230" s="1" t="str">
        <f>"孙莉丽"</f>
        <v>孙莉丽</v>
      </c>
      <c r="C230" s="1" t="str">
        <f t="shared" si="28"/>
        <v>女</v>
      </c>
      <c r="D230" s="1" t="str">
        <f t="shared" si="27"/>
        <v>汉族</v>
      </c>
      <c r="E230" s="1" t="str">
        <f>"15062120926"</f>
        <v>15062120926</v>
      </c>
      <c r="F230" s="1">
        <v>9</v>
      </c>
      <c r="G230" s="1">
        <v>26</v>
      </c>
      <c r="H230" s="5">
        <v>0</v>
      </c>
      <c r="I230" s="1">
        <v>0</v>
      </c>
      <c r="J230" s="1">
        <f t="shared" si="24"/>
        <v>0</v>
      </c>
    </row>
    <row r="231" spans="1:10">
      <c r="A231" s="1" t="s">
        <v>22</v>
      </c>
      <c r="B231" s="1" t="str">
        <f>"王荣"</f>
        <v>王荣</v>
      </c>
      <c r="C231" s="1" t="str">
        <f t="shared" si="28"/>
        <v>女</v>
      </c>
      <c r="D231" s="1" t="str">
        <f t="shared" si="27"/>
        <v>汉族</v>
      </c>
      <c r="E231" s="1" t="str">
        <f>"15062120927"</f>
        <v>15062120927</v>
      </c>
      <c r="F231" s="1">
        <v>9</v>
      </c>
      <c r="G231" s="1">
        <v>27</v>
      </c>
      <c r="H231" s="5">
        <v>0</v>
      </c>
      <c r="I231" s="1">
        <v>0</v>
      </c>
      <c r="J231" s="1">
        <f t="shared" si="24"/>
        <v>0</v>
      </c>
    </row>
    <row r="232" spans="1:10">
      <c r="A232" s="1" t="s">
        <v>22</v>
      </c>
      <c r="B232" s="1" t="str">
        <f>"郝云芳"</f>
        <v>郝云芳</v>
      </c>
      <c r="C232" s="1" t="str">
        <f t="shared" si="28"/>
        <v>女</v>
      </c>
      <c r="D232" s="1" t="str">
        <f t="shared" si="27"/>
        <v>汉族</v>
      </c>
      <c r="E232" s="1" t="str">
        <f>"15062120928"</f>
        <v>15062120928</v>
      </c>
      <c r="F232" s="1">
        <v>9</v>
      </c>
      <c r="G232" s="1">
        <v>28</v>
      </c>
      <c r="H232" s="5">
        <v>0</v>
      </c>
      <c r="I232" s="1">
        <v>0</v>
      </c>
      <c r="J232" s="1">
        <f t="shared" si="24"/>
        <v>0</v>
      </c>
    </row>
    <row r="233" spans="1:10">
      <c r="A233" s="1" t="s">
        <v>22</v>
      </c>
      <c r="B233" s="1" t="str">
        <f>"苏芮"</f>
        <v>苏芮</v>
      </c>
      <c r="C233" s="1" t="str">
        <f t="shared" si="28"/>
        <v>女</v>
      </c>
      <c r="D233" s="1" t="str">
        <f t="shared" si="27"/>
        <v>汉族</v>
      </c>
      <c r="E233" s="1" t="str">
        <f>"15062120929"</f>
        <v>15062120929</v>
      </c>
      <c r="F233" s="1">
        <v>9</v>
      </c>
      <c r="G233" s="1">
        <v>29</v>
      </c>
      <c r="H233" s="5">
        <v>0</v>
      </c>
      <c r="I233" s="1">
        <v>0</v>
      </c>
      <c r="J233" s="1">
        <f t="shared" si="24"/>
        <v>0</v>
      </c>
    </row>
    <row r="234" spans="1:10">
      <c r="A234" s="1" t="s">
        <v>22</v>
      </c>
      <c r="B234" s="1" t="str">
        <f>"贾莎莎"</f>
        <v>贾莎莎</v>
      </c>
      <c r="C234" s="1" t="str">
        <f t="shared" si="28"/>
        <v>女</v>
      </c>
      <c r="D234" s="1" t="str">
        <f t="shared" si="27"/>
        <v>汉族</v>
      </c>
      <c r="E234" s="1" t="str">
        <f>"15062120930"</f>
        <v>15062120930</v>
      </c>
      <c r="F234" s="1">
        <v>9</v>
      </c>
      <c r="G234" s="1">
        <v>30</v>
      </c>
      <c r="H234" s="5">
        <v>0</v>
      </c>
      <c r="I234" s="1">
        <v>0</v>
      </c>
      <c r="J234" s="1">
        <f t="shared" si="24"/>
        <v>0</v>
      </c>
    </row>
    <row r="235" spans="1:10">
      <c r="A235" s="1" t="s">
        <v>22</v>
      </c>
      <c r="B235" s="1" t="str">
        <f>"孙永红"</f>
        <v>孙永红</v>
      </c>
      <c r="C235" s="1" t="str">
        <f t="shared" si="28"/>
        <v>女</v>
      </c>
      <c r="D235" s="1" t="str">
        <f t="shared" si="27"/>
        <v>汉族</v>
      </c>
      <c r="E235" s="1" t="str">
        <f>"15062121001"</f>
        <v>15062121001</v>
      </c>
      <c r="F235" s="1">
        <v>10</v>
      </c>
      <c r="G235" s="1">
        <v>1</v>
      </c>
      <c r="H235" s="5">
        <v>43.5</v>
      </c>
      <c r="I235" s="1">
        <v>0</v>
      </c>
      <c r="J235" s="1">
        <f t="shared" si="24"/>
        <v>43.5</v>
      </c>
    </row>
    <row r="236" spans="1:10">
      <c r="A236" s="1" t="s">
        <v>22</v>
      </c>
      <c r="B236" s="1" t="str">
        <f>"祁欣"</f>
        <v>祁欣</v>
      </c>
      <c r="C236" s="1" t="str">
        <f t="shared" si="28"/>
        <v>女</v>
      </c>
      <c r="D236" s="1" t="str">
        <f>"蒙古族"</f>
        <v>蒙古族</v>
      </c>
      <c r="E236" s="1" t="str">
        <f>"15062121002"</f>
        <v>15062121002</v>
      </c>
      <c r="F236" s="1">
        <v>10</v>
      </c>
      <c r="G236" s="1">
        <v>2</v>
      </c>
      <c r="H236" s="5">
        <v>54</v>
      </c>
      <c r="I236" s="1">
        <v>2.5</v>
      </c>
      <c r="J236" s="1">
        <f t="shared" si="24"/>
        <v>56.5</v>
      </c>
    </row>
    <row r="237" spans="1:10">
      <c r="A237" s="1" t="s">
        <v>22</v>
      </c>
      <c r="B237" s="1" t="str">
        <f>"王敏"</f>
        <v>王敏</v>
      </c>
      <c r="C237" s="1" t="str">
        <f t="shared" si="28"/>
        <v>女</v>
      </c>
      <c r="D237" s="1" t="str">
        <f>"汉族"</f>
        <v>汉族</v>
      </c>
      <c r="E237" s="1" t="str">
        <f>"15062121003"</f>
        <v>15062121003</v>
      </c>
      <c r="F237" s="1">
        <v>10</v>
      </c>
      <c r="G237" s="1">
        <v>3</v>
      </c>
      <c r="H237" s="5">
        <v>67</v>
      </c>
      <c r="I237" s="1">
        <v>0</v>
      </c>
      <c r="J237" s="1">
        <f t="shared" si="24"/>
        <v>67</v>
      </c>
    </row>
    <row r="238" spans="1:10">
      <c r="A238" s="1" t="s">
        <v>22</v>
      </c>
      <c r="B238" s="1" t="str">
        <f>"兰星宜"</f>
        <v>兰星宜</v>
      </c>
      <c r="C238" s="1" t="str">
        <f t="shared" si="28"/>
        <v>女</v>
      </c>
      <c r="D238" s="1" t="str">
        <f>"汉族"</f>
        <v>汉族</v>
      </c>
      <c r="E238" s="1" t="str">
        <f>"15062121004"</f>
        <v>15062121004</v>
      </c>
      <c r="F238" s="1">
        <v>10</v>
      </c>
      <c r="G238" s="1">
        <v>4</v>
      </c>
      <c r="H238" s="5">
        <v>49.5</v>
      </c>
      <c r="I238" s="1">
        <v>0</v>
      </c>
      <c r="J238" s="1">
        <f t="shared" si="24"/>
        <v>49.5</v>
      </c>
    </row>
    <row r="239" spans="1:10">
      <c r="A239" s="1" t="s">
        <v>22</v>
      </c>
      <c r="B239" s="1" t="str">
        <f>"李鸿羽"</f>
        <v>李鸿羽</v>
      </c>
      <c r="C239" s="1" t="str">
        <f t="shared" si="28"/>
        <v>女</v>
      </c>
      <c r="D239" s="1" t="str">
        <f>"汉族"</f>
        <v>汉族</v>
      </c>
      <c r="E239" s="1" t="str">
        <f>"15062121005"</f>
        <v>15062121005</v>
      </c>
      <c r="F239" s="1">
        <v>10</v>
      </c>
      <c r="G239" s="1">
        <v>5</v>
      </c>
      <c r="H239" s="5">
        <v>0</v>
      </c>
      <c r="I239" s="1">
        <v>0</v>
      </c>
      <c r="J239" s="1">
        <f t="shared" si="24"/>
        <v>0</v>
      </c>
    </row>
    <row r="240" spans="1:10">
      <c r="A240" s="1" t="s">
        <v>22</v>
      </c>
      <c r="B240" s="1" t="str">
        <f>"万轩亦"</f>
        <v>万轩亦</v>
      </c>
      <c r="C240" s="1" t="str">
        <f t="shared" si="28"/>
        <v>女</v>
      </c>
      <c r="D240" s="1" t="str">
        <f>"蒙古族"</f>
        <v>蒙古族</v>
      </c>
      <c r="E240" s="1" t="str">
        <f>"15062121006"</f>
        <v>15062121006</v>
      </c>
      <c r="F240" s="1">
        <v>10</v>
      </c>
      <c r="G240" s="1">
        <v>6</v>
      </c>
      <c r="H240" s="5">
        <v>0</v>
      </c>
      <c r="I240" s="1">
        <v>0</v>
      </c>
      <c r="J240" s="1">
        <f t="shared" si="24"/>
        <v>0</v>
      </c>
    </row>
    <row r="241" spans="1:10">
      <c r="A241" s="1" t="s">
        <v>22</v>
      </c>
      <c r="B241" s="1" t="str">
        <f>"柴丽娟"</f>
        <v>柴丽娟</v>
      </c>
      <c r="C241" s="1" t="str">
        <f t="shared" si="28"/>
        <v>女</v>
      </c>
      <c r="D241" s="1" t="str">
        <f>"汉族"</f>
        <v>汉族</v>
      </c>
      <c r="E241" s="1" t="str">
        <f>"15062121007"</f>
        <v>15062121007</v>
      </c>
      <c r="F241" s="1">
        <v>10</v>
      </c>
      <c r="G241" s="1">
        <v>7</v>
      </c>
      <c r="H241" s="5">
        <v>0</v>
      </c>
      <c r="I241" s="1">
        <v>0</v>
      </c>
      <c r="J241" s="1">
        <f t="shared" si="24"/>
        <v>0</v>
      </c>
    </row>
    <row r="242" spans="1:10">
      <c r="A242" s="1" t="s">
        <v>22</v>
      </c>
      <c r="B242" s="1" t="str">
        <f>"阿斯哈"</f>
        <v>阿斯哈</v>
      </c>
      <c r="C242" s="1" t="str">
        <f>"男"</f>
        <v>男</v>
      </c>
      <c r="D242" s="1" t="str">
        <f>"蒙古族"</f>
        <v>蒙古族</v>
      </c>
      <c r="E242" s="1" t="str">
        <f>"15062121008"</f>
        <v>15062121008</v>
      </c>
      <c r="F242" s="1">
        <v>10</v>
      </c>
      <c r="G242" s="1">
        <v>8</v>
      </c>
      <c r="H242" s="5">
        <v>48</v>
      </c>
      <c r="I242" s="1">
        <v>2.5</v>
      </c>
      <c r="J242" s="1">
        <f t="shared" si="24"/>
        <v>50.5</v>
      </c>
    </row>
    <row r="243" spans="1:10">
      <c r="A243" s="1" t="s">
        <v>22</v>
      </c>
      <c r="B243" s="1" t="str">
        <f>"斯琴高娃"</f>
        <v>斯琴高娃</v>
      </c>
      <c r="C243" s="1" t="str">
        <f t="shared" ref="C243:C256" si="29">"女"</f>
        <v>女</v>
      </c>
      <c r="D243" s="1" t="str">
        <f>"蒙古族"</f>
        <v>蒙古族</v>
      </c>
      <c r="E243" s="1" t="str">
        <f>"15062121009"</f>
        <v>15062121009</v>
      </c>
      <c r="F243" s="1">
        <v>10</v>
      </c>
      <c r="G243" s="1">
        <v>9</v>
      </c>
      <c r="H243" s="5">
        <v>43</v>
      </c>
      <c r="I243" s="1">
        <v>2.5</v>
      </c>
      <c r="J243" s="1">
        <f t="shared" si="24"/>
        <v>45.5</v>
      </c>
    </row>
    <row r="244" spans="1:10">
      <c r="A244" s="1" t="s">
        <v>22</v>
      </c>
      <c r="B244" s="1" t="str">
        <f>"田楠"</f>
        <v>田楠</v>
      </c>
      <c r="C244" s="1" t="str">
        <f t="shared" si="29"/>
        <v>女</v>
      </c>
      <c r="D244" s="1" t="str">
        <f t="shared" ref="D244:D263" si="30">"汉族"</f>
        <v>汉族</v>
      </c>
      <c r="E244" s="1" t="str">
        <f>"15062121010"</f>
        <v>15062121010</v>
      </c>
      <c r="F244" s="1">
        <v>10</v>
      </c>
      <c r="G244" s="1">
        <v>10</v>
      </c>
      <c r="H244" s="5">
        <v>0</v>
      </c>
      <c r="I244" s="1">
        <v>0</v>
      </c>
      <c r="J244" s="1">
        <f t="shared" si="24"/>
        <v>0</v>
      </c>
    </row>
    <row r="245" spans="1:10">
      <c r="A245" s="1" t="s">
        <v>22</v>
      </c>
      <c r="B245" s="1" t="str">
        <f>"孟丽"</f>
        <v>孟丽</v>
      </c>
      <c r="C245" s="1" t="str">
        <f t="shared" si="29"/>
        <v>女</v>
      </c>
      <c r="D245" s="1" t="str">
        <f t="shared" si="30"/>
        <v>汉族</v>
      </c>
      <c r="E245" s="1" t="str">
        <f>"15062121011"</f>
        <v>15062121011</v>
      </c>
      <c r="F245" s="1">
        <v>10</v>
      </c>
      <c r="G245" s="1">
        <v>11</v>
      </c>
      <c r="H245" s="5">
        <v>0</v>
      </c>
      <c r="I245" s="1">
        <v>0</v>
      </c>
      <c r="J245" s="1">
        <f t="shared" si="24"/>
        <v>0</v>
      </c>
    </row>
    <row r="246" spans="1:10">
      <c r="A246" s="1" t="s">
        <v>22</v>
      </c>
      <c r="B246" s="1" t="str">
        <f>"刘笑"</f>
        <v>刘笑</v>
      </c>
      <c r="C246" s="1" t="str">
        <f t="shared" si="29"/>
        <v>女</v>
      </c>
      <c r="D246" s="1" t="str">
        <f t="shared" si="30"/>
        <v>汉族</v>
      </c>
      <c r="E246" s="1" t="str">
        <f>"15062121012"</f>
        <v>15062121012</v>
      </c>
      <c r="F246" s="1">
        <v>10</v>
      </c>
      <c r="G246" s="1">
        <v>12</v>
      </c>
      <c r="H246" s="5">
        <v>0</v>
      </c>
      <c r="I246" s="1">
        <v>0</v>
      </c>
      <c r="J246" s="1">
        <f t="shared" si="24"/>
        <v>0</v>
      </c>
    </row>
    <row r="247" spans="1:10">
      <c r="A247" s="1" t="s">
        <v>22</v>
      </c>
      <c r="B247" s="1" t="str">
        <f>"张洧瑄"</f>
        <v>张洧瑄</v>
      </c>
      <c r="C247" s="1" t="str">
        <f t="shared" si="29"/>
        <v>女</v>
      </c>
      <c r="D247" s="1" t="str">
        <f t="shared" si="30"/>
        <v>汉族</v>
      </c>
      <c r="E247" s="1" t="str">
        <f>"15062121013"</f>
        <v>15062121013</v>
      </c>
      <c r="F247" s="1">
        <v>10</v>
      </c>
      <c r="G247" s="1">
        <v>13</v>
      </c>
      <c r="H247" s="5">
        <v>0</v>
      </c>
      <c r="I247" s="1">
        <v>0</v>
      </c>
      <c r="J247" s="1">
        <f t="shared" si="24"/>
        <v>0</v>
      </c>
    </row>
    <row r="248" spans="1:10">
      <c r="A248" s="1" t="s">
        <v>22</v>
      </c>
      <c r="B248" s="1" t="str">
        <f>"刘莎莎"</f>
        <v>刘莎莎</v>
      </c>
      <c r="C248" s="1" t="str">
        <f t="shared" si="29"/>
        <v>女</v>
      </c>
      <c r="D248" s="1" t="str">
        <f t="shared" si="30"/>
        <v>汉族</v>
      </c>
      <c r="E248" s="1" t="str">
        <f>"15062121014"</f>
        <v>15062121014</v>
      </c>
      <c r="F248" s="1">
        <v>10</v>
      </c>
      <c r="G248" s="1">
        <v>14</v>
      </c>
      <c r="H248" s="5">
        <v>0</v>
      </c>
      <c r="I248" s="1">
        <v>0</v>
      </c>
      <c r="J248" s="1">
        <f t="shared" si="24"/>
        <v>0</v>
      </c>
    </row>
    <row r="249" spans="1:10">
      <c r="A249" s="1" t="s">
        <v>22</v>
      </c>
      <c r="B249" s="1" t="str">
        <f>"李均均"</f>
        <v>李均均</v>
      </c>
      <c r="C249" s="1" t="str">
        <f t="shared" si="29"/>
        <v>女</v>
      </c>
      <c r="D249" s="1" t="str">
        <f t="shared" si="30"/>
        <v>汉族</v>
      </c>
      <c r="E249" s="1" t="str">
        <f>"15062121015"</f>
        <v>15062121015</v>
      </c>
      <c r="F249" s="1">
        <v>10</v>
      </c>
      <c r="G249" s="1">
        <v>15</v>
      </c>
      <c r="H249" s="5">
        <v>0</v>
      </c>
      <c r="I249" s="1">
        <v>0</v>
      </c>
      <c r="J249" s="1">
        <f t="shared" si="24"/>
        <v>0</v>
      </c>
    </row>
    <row r="250" spans="1:10">
      <c r="A250" s="1" t="s">
        <v>22</v>
      </c>
      <c r="B250" s="1" t="str">
        <f>"杨晨"</f>
        <v>杨晨</v>
      </c>
      <c r="C250" s="1" t="str">
        <f t="shared" si="29"/>
        <v>女</v>
      </c>
      <c r="D250" s="1" t="str">
        <f t="shared" si="30"/>
        <v>汉族</v>
      </c>
      <c r="E250" s="1" t="str">
        <f>"15062121016"</f>
        <v>15062121016</v>
      </c>
      <c r="F250" s="1">
        <v>10</v>
      </c>
      <c r="G250" s="1">
        <v>16</v>
      </c>
      <c r="H250" s="5">
        <v>66.5</v>
      </c>
      <c r="I250" s="1">
        <v>0</v>
      </c>
      <c r="J250" s="1">
        <f t="shared" si="24"/>
        <v>66.5</v>
      </c>
    </row>
    <row r="251" spans="1:10">
      <c r="A251" s="1" t="s">
        <v>22</v>
      </c>
      <c r="B251" s="1" t="str">
        <f>"白亚芳"</f>
        <v>白亚芳</v>
      </c>
      <c r="C251" s="1" t="str">
        <f t="shared" si="29"/>
        <v>女</v>
      </c>
      <c r="D251" s="1" t="str">
        <f t="shared" si="30"/>
        <v>汉族</v>
      </c>
      <c r="E251" s="1" t="str">
        <f>"15062121017"</f>
        <v>15062121017</v>
      </c>
      <c r="F251" s="1">
        <v>10</v>
      </c>
      <c r="G251" s="1">
        <v>17</v>
      </c>
      <c r="H251" s="5">
        <v>68.5</v>
      </c>
      <c r="I251" s="1">
        <v>0</v>
      </c>
      <c r="J251" s="1">
        <f t="shared" si="24"/>
        <v>68.5</v>
      </c>
    </row>
    <row r="252" spans="1:10">
      <c r="A252" s="1" t="s">
        <v>22</v>
      </c>
      <c r="B252" s="1" t="str">
        <f>"王娜仁"</f>
        <v>王娜仁</v>
      </c>
      <c r="C252" s="1" t="str">
        <f t="shared" si="29"/>
        <v>女</v>
      </c>
      <c r="D252" s="1" t="str">
        <f t="shared" si="30"/>
        <v>汉族</v>
      </c>
      <c r="E252" s="1" t="str">
        <f>"15062121018"</f>
        <v>15062121018</v>
      </c>
      <c r="F252" s="1">
        <v>10</v>
      </c>
      <c r="G252" s="1">
        <v>18</v>
      </c>
      <c r="H252" s="5">
        <v>0</v>
      </c>
      <c r="I252" s="1">
        <v>0</v>
      </c>
      <c r="J252" s="1">
        <f t="shared" si="24"/>
        <v>0</v>
      </c>
    </row>
    <row r="253" spans="1:10">
      <c r="A253" s="1" t="s">
        <v>22</v>
      </c>
      <c r="B253" s="1" t="str">
        <f>"刘星"</f>
        <v>刘星</v>
      </c>
      <c r="C253" s="1" t="str">
        <f t="shared" si="29"/>
        <v>女</v>
      </c>
      <c r="D253" s="1" t="str">
        <f t="shared" si="30"/>
        <v>汉族</v>
      </c>
      <c r="E253" s="1" t="str">
        <f>"15062121019"</f>
        <v>15062121019</v>
      </c>
      <c r="F253" s="1">
        <v>10</v>
      </c>
      <c r="G253" s="1">
        <v>19</v>
      </c>
      <c r="H253" s="5">
        <v>0</v>
      </c>
      <c r="I253" s="1">
        <v>0</v>
      </c>
      <c r="J253" s="1">
        <f t="shared" si="24"/>
        <v>0</v>
      </c>
    </row>
    <row r="254" spans="1:10">
      <c r="A254" s="1" t="s">
        <v>22</v>
      </c>
      <c r="B254" s="1" t="str">
        <f>"郝娜"</f>
        <v>郝娜</v>
      </c>
      <c r="C254" s="1" t="str">
        <f t="shared" si="29"/>
        <v>女</v>
      </c>
      <c r="D254" s="1" t="str">
        <f t="shared" si="30"/>
        <v>汉族</v>
      </c>
      <c r="E254" s="1" t="str">
        <f>"15062121020"</f>
        <v>15062121020</v>
      </c>
      <c r="F254" s="1">
        <v>10</v>
      </c>
      <c r="G254" s="1">
        <v>20</v>
      </c>
      <c r="H254" s="5">
        <v>75.5</v>
      </c>
      <c r="I254" s="1">
        <v>0</v>
      </c>
      <c r="J254" s="1">
        <f t="shared" si="24"/>
        <v>75.5</v>
      </c>
    </row>
    <row r="255" spans="1:10">
      <c r="A255" s="1" t="s">
        <v>22</v>
      </c>
      <c r="B255" s="1" t="str">
        <f>"白金梅"</f>
        <v>白金梅</v>
      </c>
      <c r="C255" s="1" t="str">
        <f t="shared" si="29"/>
        <v>女</v>
      </c>
      <c r="D255" s="1" t="str">
        <f t="shared" si="30"/>
        <v>汉族</v>
      </c>
      <c r="E255" s="1" t="str">
        <f>"15062121021"</f>
        <v>15062121021</v>
      </c>
      <c r="F255" s="1">
        <v>10</v>
      </c>
      <c r="G255" s="1">
        <v>21</v>
      </c>
      <c r="H255" s="5">
        <v>51.5</v>
      </c>
      <c r="I255" s="1">
        <v>0</v>
      </c>
      <c r="J255" s="1">
        <f t="shared" si="24"/>
        <v>51.5</v>
      </c>
    </row>
    <row r="256" spans="1:10">
      <c r="A256" s="1" t="s">
        <v>22</v>
      </c>
      <c r="B256" s="1" t="str">
        <f>"刘洋"</f>
        <v>刘洋</v>
      </c>
      <c r="C256" s="1" t="str">
        <f t="shared" si="29"/>
        <v>女</v>
      </c>
      <c r="D256" s="1" t="str">
        <f t="shared" si="30"/>
        <v>汉族</v>
      </c>
      <c r="E256" s="1" t="str">
        <f>"15062121022"</f>
        <v>15062121022</v>
      </c>
      <c r="F256" s="1">
        <v>10</v>
      </c>
      <c r="G256" s="1">
        <v>22</v>
      </c>
      <c r="H256" s="5">
        <v>0</v>
      </c>
      <c r="I256" s="1">
        <v>0</v>
      </c>
      <c r="J256" s="1">
        <f t="shared" si="24"/>
        <v>0</v>
      </c>
    </row>
    <row r="257" spans="1:10">
      <c r="A257" s="1" t="s">
        <v>22</v>
      </c>
      <c r="B257" s="1" t="str">
        <f>"高磊"</f>
        <v>高磊</v>
      </c>
      <c r="C257" s="1" t="str">
        <f>"男"</f>
        <v>男</v>
      </c>
      <c r="D257" s="1" t="str">
        <f t="shared" si="30"/>
        <v>汉族</v>
      </c>
      <c r="E257" s="1" t="str">
        <f>"15062121023"</f>
        <v>15062121023</v>
      </c>
      <c r="F257" s="1">
        <v>10</v>
      </c>
      <c r="G257" s="1">
        <v>23</v>
      </c>
      <c r="H257" s="5">
        <v>58.5</v>
      </c>
      <c r="I257" s="1">
        <v>0</v>
      </c>
      <c r="J257" s="1">
        <f t="shared" si="24"/>
        <v>58.5</v>
      </c>
    </row>
    <row r="258" spans="1:10">
      <c r="A258" s="1" t="s">
        <v>22</v>
      </c>
      <c r="B258" s="1" t="str">
        <f>"李慧芳"</f>
        <v>李慧芳</v>
      </c>
      <c r="C258" s="1" t="str">
        <f>"女"</f>
        <v>女</v>
      </c>
      <c r="D258" s="1" t="str">
        <f t="shared" si="30"/>
        <v>汉族</v>
      </c>
      <c r="E258" s="1" t="str">
        <f>"15062121024"</f>
        <v>15062121024</v>
      </c>
      <c r="F258" s="1">
        <v>10</v>
      </c>
      <c r="G258" s="1">
        <v>24</v>
      </c>
      <c r="H258" s="5">
        <v>0</v>
      </c>
      <c r="I258" s="1">
        <v>0</v>
      </c>
      <c r="J258" s="1">
        <f t="shared" si="24"/>
        <v>0</v>
      </c>
    </row>
    <row r="259" spans="1:10">
      <c r="A259" s="1" t="s">
        <v>22</v>
      </c>
      <c r="B259" s="1" t="str">
        <f>"韩雅嫒"</f>
        <v>韩雅嫒</v>
      </c>
      <c r="C259" s="1" t="str">
        <f>"女"</f>
        <v>女</v>
      </c>
      <c r="D259" s="1" t="str">
        <f t="shared" si="30"/>
        <v>汉族</v>
      </c>
      <c r="E259" s="1" t="str">
        <f>"15062121025"</f>
        <v>15062121025</v>
      </c>
      <c r="F259" s="1">
        <v>10</v>
      </c>
      <c r="G259" s="1">
        <v>25</v>
      </c>
      <c r="H259" s="5">
        <v>71.5</v>
      </c>
      <c r="I259" s="1">
        <v>0</v>
      </c>
      <c r="J259" s="1">
        <f t="shared" ref="J259:J322" si="31">H259+I259</f>
        <v>71.5</v>
      </c>
    </row>
    <row r="260" spans="1:10">
      <c r="A260" s="1" t="s">
        <v>22</v>
      </c>
      <c r="B260" s="1" t="str">
        <f>"刘帅"</f>
        <v>刘帅</v>
      </c>
      <c r="C260" s="1" t="str">
        <f>"男"</f>
        <v>男</v>
      </c>
      <c r="D260" s="1" t="str">
        <f t="shared" si="30"/>
        <v>汉族</v>
      </c>
      <c r="E260" s="1" t="str">
        <f>"15062121026"</f>
        <v>15062121026</v>
      </c>
      <c r="F260" s="1">
        <v>10</v>
      </c>
      <c r="G260" s="1">
        <v>26</v>
      </c>
      <c r="H260" s="5">
        <v>0</v>
      </c>
      <c r="I260" s="1">
        <v>0</v>
      </c>
      <c r="J260" s="1">
        <f t="shared" si="31"/>
        <v>0</v>
      </c>
    </row>
    <row r="261" spans="1:10">
      <c r="A261" s="1" t="s">
        <v>22</v>
      </c>
      <c r="B261" s="1" t="str">
        <f>"杨琴"</f>
        <v>杨琴</v>
      </c>
      <c r="C261" s="1" t="str">
        <f>"女"</f>
        <v>女</v>
      </c>
      <c r="D261" s="1" t="str">
        <f t="shared" si="30"/>
        <v>汉族</v>
      </c>
      <c r="E261" s="1" t="str">
        <f>"15062121027"</f>
        <v>15062121027</v>
      </c>
      <c r="F261" s="1">
        <v>10</v>
      </c>
      <c r="G261" s="1">
        <v>27</v>
      </c>
      <c r="H261" s="5">
        <v>0</v>
      </c>
      <c r="I261" s="1">
        <v>0</v>
      </c>
      <c r="J261" s="1">
        <f t="shared" si="31"/>
        <v>0</v>
      </c>
    </row>
    <row r="262" spans="1:10">
      <c r="A262" s="1" t="s">
        <v>22</v>
      </c>
      <c r="B262" s="1" t="str">
        <f>"张婷"</f>
        <v>张婷</v>
      </c>
      <c r="C262" s="1" t="str">
        <f>"女"</f>
        <v>女</v>
      </c>
      <c r="D262" s="1" t="str">
        <f t="shared" si="30"/>
        <v>汉族</v>
      </c>
      <c r="E262" s="1" t="str">
        <f>"15062121028"</f>
        <v>15062121028</v>
      </c>
      <c r="F262" s="1">
        <v>10</v>
      </c>
      <c r="G262" s="1">
        <v>28</v>
      </c>
      <c r="H262" s="5">
        <v>0</v>
      </c>
      <c r="I262" s="1">
        <v>0</v>
      </c>
      <c r="J262" s="1">
        <f t="shared" si="31"/>
        <v>0</v>
      </c>
    </row>
    <row r="263" spans="1:10">
      <c r="A263" s="1" t="s">
        <v>22</v>
      </c>
      <c r="B263" s="1" t="str">
        <f>"王慧"</f>
        <v>王慧</v>
      </c>
      <c r="C263" s="1" t="str">
        <f>"女"</f>
        <v>女</v>
      </c>
      <c r="D263" s="1" t="str">
        <f t="shared" si="30"/>
        <v>汉族</v>
      </c>
      <c r="E263" s="1" t="str">
        <f>"15062121029"</f>
        <v>15062121029</v>
      </c>
      <c r="F263" s="1">
        <v>10</v>
      </c>
      <c r="G263" s="1">
        <v>29</v>
      </c>
      <c r="H263" s="5">
        <v>0</v>
      </c>
      <c r="I263" s="1">
        <v>0</v>
      </c>
      <c r="J263" s="1">
        <f t="shared" si="31"/>
        <v>0</v>
      </c>
    </row>
    <row r="264" spans="1:10">
      <c r="A264" s="1" t="s">
        <v>22</v>
      </c>
      <c r="B264" s="1" t="str">
        <f>"石月月"</f>
        <v>石月月</v>
      </c>
      <c r="C264" s="1" t="str">
        <f>"女"</f>
        <v>女</v>
      </c>
      <c r="D264" s="1" t="str">
        <f>"蒙古族"</f>
        <v>蒙古族</v>
      </c>
      <c r="E264" s="1" t="str">
        <f>"15062121030"</f>
        <v>15062121030</v>
      </c>
      <c r="F264" s="1">
        <v>10</v>
      </c>
      <c r="G264" s="1">
        <v>30</v>
      </c>
      <c r="H264" s="5">
        <v>0</v>
      </c>
      <c r="I264" s="1">
        <v>0</v>
      </c>
      <c r="J264" s="1">
        <f t="shared" si="31"/>
        <v>0</v>
      </c>
    </row>
    <row r="265" spans="1:10">
      <c r="A265" s="1" t="s">
        <v>22</v>
      </c>
      <c r="B265" s="1" t="str">
        <f>"南丁"</f>
        <v>南丁</v>
      </c>
      <c r="C265" s="1" t="str">
        <f>"男"</f>
        <v>男</v>
      </c>
      <c r="D265" s="1" t="str">
        <f>"蒙古族"</f>
        <v>蒙古族</v>
      </c>
      <c r="E265" s="1" t="str">
        <f>"15062121101"</f>
        <v>15062121101</v>
      </c>
      <c r="F265" s="1">
        <v>11</v>
      </c>
      <c r="G265" s="1">
        <v>1</v>
      </c>
      <c r="H265" s="5">
        <v>64</v>
      </c>
      <c r="I265" s="1">
        <v>2.5</v>
      </c>
      <c r="J265" s="1">
        <f t="shared" si="31"/>
        <v>66.5</v>
      </c>
    </row>
    <row r="266" spans="1:10">
      <c r="A266" s="1" t="s">
        <v>22</v>
      </c>
      <c r="B266" s="1" t="str">
        <f>"何燕燕"</f>
        <v>何燕燕</v>
      </c>
      <c r="C266" s="1" t="str">
        <f>"女"</f>
        <v>女</v>
      </c>
      <c r="D266" s="1" t="str">
        <f t="shared" ref="D266:D287" si="32">"汉族"</f>
        <v>汉族</v>
      </c>
      <c r="E266" s="1" t="str">
        <f>"15062121102"</f>
        <v>15062121102</v>
      </c>
      <c r="F266" s="1">
        <v>11</v>
      </c>
      <c r="G266" s="1">
        <v>2</v>
      </c>
      <c r="H266" s="5">
        <v>0</v>
      </c>
      <c r="I266" s="1">
        <v>0</v>
      </c>
      <c r="J266" s="1">
        <f t="shared" si="31"/>
        <v>0</v>
      </c>
    </row>
    <row r="267" spans="1:10">
      <c r="A267" s="1" t="s">
        <v>22</v>
      </c>
      <c r="B267" s="1" t="str">
        <f>"杨悦"</f>
        <v>杨悦</v>
      </c>
      <c r="C267" s="1" t="str">
        <f>"女"</f>
        <v>女</v>
      </c>
      <c r="D267" s="1" t="str">
        <f t="shared" si="32"/>
        <v>汉族</v>
      </c>
      <c r="E267" s="1" t="str">
        <f>"15062121103"</f>
        <v>15062121103</v>
      </c>
      <c r="F267" s="1">
        <v>11</v>
      </c>
      <c r="G267" s="1">
        <v>3</v>
      </c>
      <c r="H267" s="5">
        <v>0</v>
      </c>
      <c r="I267" s="1">
        <v>0</v>
      </c>
      <c r="J267" s="1">
        <f t="shared" si="31"/>
        <v>0</v>
      </c>
    </row>
    <row r="268" spans="1:10">
      <c r="A268" s="1" t="s">
        <v>22</v>
      </c>
      <c r="B268" s="1" t="str">
        <f>"李晓燕"</f>
        <v>李晓燕</v>
      </c>
      <c r="C268" s="1" t="str">
        <f>"女"</f>
        <v>女</v>
      </c>
      <c r="D268" s="1" t="str">
        <f t="shared" si="32"/>
        <v>汉族</v>
      </c>
      <c r="E268" s="1" t="str">
        <f>"15062121104"</f>
        <v>15062121104</v>
      </c>
      <c r="F268" s="1">
        <v>11</v>
      </c>
      <c r="G268" s="1">
        <v>4</v>
      </c>
      <c r="H268" s="5">
        <v>44</v>
      </c>
      <c r="I268" s="1">
        <v>0</v>
      </c>
      <c r="J268" s="1">
        <f t="shared" si="31"/>
        <v>44</v>
      </c>
    </row>
    <row r="269" spans="1:10">
      <c r="A269" s="1" t="s">
        <v>22</v>
      </c>
      <c r="B269" s="1" t="str">
        <f>"杨帅"</f>
        <v>杨帅</v>
      </c>
      <c r="C269" s="1" t="str">
        <f>"男"</f>
        <v>男</v>
      </c>
      <c r="D269" s="1" t="str">
        <f t="shared" si="32"/>
        <v>汉族</v>
      </c>
      <c r="E269" s="1" t="str">
        <f>"15062121105"</f>
        <v>15062121105</v>
      </c>
      <c r="F269" s="1">
        <v>11</v>
      </c>
      <c r="G269" s="1">
        <v>5</v>
      </c>
      <c r="H269" s="5">
        <v>0</v>
      </c>
      <c r="I269" s="1">
        <v>0</v>
      </c>
      <c r="J269" s="1">
        <f t="shared" si="31"/>
        <v>0</v>
      </c>
    </row>
    <row r="270" spans="1:10">
      <c r="A270" s="1" t="s">
        <v>22</v>
      </c>
      <c r="B270" s="1" t="str">
        <f>"王雨芳"</f>
        <v>王雨芳</v>
      </c>
      <c r="C270" s="1" t="str">
        <f>"女"</f>
        <v>女</v>
      </c>
      <c r="D270" s="1" t="str">
        <f t="shared" si="32"/>
        <v>汉族</v>
      </c>
      <c r="E270" s="1" t="str">
        <f>"15062121106"</f>
        <v>15062121106</v>
      </c>
      <c r="F270" s="1">
        <v>11</v>
      </c>
      <c r="G270" s="1">
        <v>6</v>
      </c>
      <c r="H270" s="5">
        <v>42</v>
      </c>
      <c r="I270" s="1">
        <v>0</v>
      </c>
      <c r="J270" s="1">
        <f t="shared" si="31"/>
        <v>42</v>
      </c>
    </row>
    <row r="271" spans="1:10">
      <c r="A271" s="1" t="s">
        <v>22</v>
      </c>
      <c r="B271" s="1" t="str">
        <f>"王瑞"</f>
        <v>王瑞</v>
      </c>
      <c r="C271" s="1" t="str">
        <f>"女"</f>
        <v>女</v>
      </c>
      <c r="D271" s="1" t="str">
        <f t="shared" si="32"/>
        <v>汉族</v>
      </c>
      <c r="E271" s="1" t="str">
        <f>"15062121107"</f>
        <v>15062121107</v>
      </c>
      <c r="F271" s="1">
        <v>11</v>
      </c>
      <c r="G271" s="1">
        <v>7</v>
      </c>
      <c r="H271" s="5">
        <v>53.5</v>
      </c>
      <c r="I271" s="1">
        <v>0</v>
      </c>
      <c r="J271" s="1">
        <f t="shared" si="31"/>
        <v>53.5</v>
      </c>
    </row>
    <row r="272" spans="1:10">
      <c r="A272" s="1" t="s">
        <v>22</v>
      </c>
      <c r="B272" s="1" t="str">
        <f>"张秀"</f>
        <v>张秀</v>
      </c>
      <c r="C272" s="1" t="str">
        <f>"女"</f>
        <v>女</v>
      </c>
      <c r="D272" s="1" t="str">
        <f t="shared" si="32"/>
        <v>汉族</v>
      </c>
      <c r="E272" s="1" t="str">
        <f>"15062121108"</f>
        <v>15062121108</v>
      </c>
      <c r="F272" s="1">
        <v>11</v>
      </c>
      <c r="G272" s="1">
        <v>8</v>
      </c>
      <c r="H272" s="5">
        <v>0</v>
      </c>
      <c r="I272" s="1">
        <v>0</v>
      </c>
      <c r="J272" s="1">
        <f t="shared" si="31"/>
        <v>0</v>
      </c>
    </row>
    <row r="273" spans="1:10">
      <c r="A273" s="1" t="s">
        <v>22</v>
      </c>
      <c r="B273" s="1" t="str">
        <f>"武若宇"</f>
        <v>武若宇</v>
      </c>
      <c r="C273" s="1" t="str">
        <f>"女"</f>
        <v>女</v>
      </c>
      <c r="D273" s="1" t="str">
        <f t="shared" si="32"/>
        <v>汉族</v>
      </c>
      <c r="E273" s="1" t="str">
        <f>"15062121109"</f>
        <v>15062121109</v>
      </c>
      <c r="F273" s="1">
        <v>11</v>
      </c>
      <c r="G273" s="1">
        <v>9</v>
      </c>
      <c r="H273" s="5">
        <v>65.5</v>
      </c>
      <c r="I273" s="1">
        <v>0</v>
      </c>
      <c r="J273" s="1">
        <f t="shared" si="31"/>
        <v>65.5</v>
      </c>
    </row>
    <row r="274" spans="1:10">
      <c r="A274" s="1" t="s">
        <v>22</v>
      </c>
      <c r="B274" s="1" t="str">
        <f>"杨洋"</f>
        <v>杨洋</v>
      </c>
      <c r="C274" s="1" t="str">
        <f>"女"</f>
        <v>女</v>
      </c>
      <c r="D274" s="1" t="str">
        <f t="shared" si="32"/>
        <v>汉族</v>
      </c>
      <c r="E274" s="1" t="str">
        <f>"15062121110"</f>
        <v>15062121110</v>
      </c>
      <c r="F274" s="1">
        <v>11</v>
      </c>
      <c r="G274" s="1">
        <v>10</v>
      </c>
      <c r="H274" s="5">
        <v>0</v>
      </c>
      <c r="I274" s="1">
        <v>0</v>
      </c>
      <c r="J274" s="1">
        <f t="shared" si="31"/>
        <v>0</v>
      </c>
    </row>
    <row r="275" spans="1:10">
      <c r="A275" s="1" t="s">
        <v>22</v>
      </c>
      <c r="B275" s="1" t="str">
        <f>"武瑞"</f>
        <v>武瑞</v>
      </c>
      <c r="C275" s="1" t="str">
        <f>"男"</f>
        <v>男</v>
      </c>
      <c r="D275" s="1" t="str">
        <f t="shared" si="32"/>
        <v>汉族</v>
      </c>
      <c r="E275" s="1" t="str">
        <f>"15062121111"</f>
        <v>15062121111</v>
      </c>
      <c r="F275" s="1">
        <v>11</v>
      </c>
      <c r="G275" s="1">
        <v>11</v>
      </c>
      <c r="H275" s="5">
        <v>53.5</v>
      </c>
      <c r="I275" s="1">
        <v>0</v>
      </c>
      <c r="J275" s="1">
        <f t="shared" si="31"/>
        <v>53.5</v>
      </c>
    </row>
    <row r="276" spans="1:10">
      <c r="A276" s="1" t="s">
        <v>22</v>
      </c>
      <c r="B276" s="1" t="str">
        <f>"孟媛"</f>
        <v>孟媛</v>
      </c>
      <c r="C276" s="1" t="str">
        <f t="shared" ref="C276:C296" si="33">"女"</f>
        <v>女</v>
      </c>
      <c r="D276" s="1" t="str">
        <f t="shared" si="32"/>
        <v>汉族</v>
      </c>
      <c r="E276" s="1" t="str">
        <f>"15062121112"</f>
        <v>15062121112</v>
      </c>
      <c r="F276" s="1">
        <v>11</v>
      </c>
      <c r="G276" s="1">
        <v>12</v>
      </c>
      <c r="H276" s="5">
        <v>0</v>
      </c>
      <c r="I276" s="1">
        <v>0</v>
      </c>
      <c r="J276" s="1">
        <f t="shared" si="31"/>
        <v>0</v>
      </c>
    </row>
    <row r="277" spans="1:10">
      <c r="A277" s="1" t="s">
        <v>22</v>
      </c>
      <c r="B277" s="1" t="str">
        <f>"郭慧"</f>
        <v>郭慧</v>
      </c>
      <c r="C277" s="1" t="str">
        <f t="shared" si="33"/>
        <v>女</v>
      </c>
      <c r="D277" s="1" t="str">
        <f t="shared" si="32"/>
        <v>汉族</v>
      </c>
      <c r="E277" s="1" t="str">
        <f>"15062121113"</f>
        <v>15062121113</v>
      </c>
      <c r="F277" s="1">
        <v>11</v>
      </c>
      <c r="G277" s="1">
        <v>13</v>
      </c>
      <c r="H277" s="5">
        <v>54.5</v>
      </c>
      <c r="I277" s="1">
        <v>0</v>
      </c>
      <c r="J277" s="1">
        <f t="shared" si="31"/>
        <v>54.5</v>
      </c>
    </row>
    <row r="278" spans="1:10">
      <c r="A278" s="1" t="s">
        <v>22</v>
      </c>
      <c r="B278" s="1" t="str">
        <f>"张乐"</f>
        <v>张乐</v>
      </c>
      <c r="C278" s="1" t="str">
        <f t="shared" si="33"/>
        <v>女</v>
      </c>
      <c r="D278" s="1" t="str">
        <f t="shared" si="32"/>
        <v>汉族</v>
      </c>
      <c r="E278" s="1" t="str">
        <f>"15062121114"</f>
        <v>15062121114</v>
      </c>
      <c r="F278" s="1">
        <v>11</v>
      </c>
      <c r="G278" s="1">
        <v>14</v>
      </c>
      <c r="H278" s="5">
        <v>54.5</v>
      </c>
      <c r="I278" s="1">
        <v>0</v>
      </c>
      <c r="J278" s="1">
        <f t="shared" si="31"/>
        <v>54.5</v>
      </c>
    </row>
    <row r="279" spans="1:10">
      <c r="A279" s="1" t="s">
        <v>22</v>
      </c>
      <c r="B279" s="1" t="str">
        <f>"安娜"</f>
        <v>安娜</v>
      </c>
      <c r="C279" s="1" t="str">
        <f t="shared" si="33"/>
        <v>女</v>
      </c>
      <c r="D279" s="1" t="str">
        <f t="shared" si="32"/>
        <v>汉族</v>
      </c>
      <c r="E279" s="1" t="str">
        <f>"15062121115"</f>
        <v>15062121115</v>
      </c>
      <c r="F279" s="1">
        <v>11</v>
      </c>
      <c r="G279" s="1">
        <v>15</v>
      </c>
      <c r="H279" s="5">
        <v>0</v>
      </c>
      <c r="I279" s="1">
        <v>0</v>
      </c>
      <c r="J279" s="1">
        <f t="shared" si="31"/>
        <v>0</v>
      </c>
    </row>
    <row r="280" spans="1:10">
      <c r="A280" s="1" t="s">
        <v>22</v>
      </c>
      <c r="B280" s="1" t="str">
        <f>"娄璐璐"</f>
        <v>娄璐璐</v>
      </c>
      <c r="C280" s="1" t="str">
        <f t="shared" si="33"/>
        <v>女</v>
      </c>
      <c r="D280" s="1" t="str">
        <f t="shared" si="32"/>
        <v>汉族</v>
      </c>
      <c r="E280" s="1" t="str">
        <f>"15062121116"</f>
        <v>15062121116</v>
      </c>
      <c r="F280" s="1">
        <v>11</v>
      </c>
      <c r="G280" s="1">
        <v>16</v>
      </c>
      <c r="H280" s="5">
        <v>0</v>
      </c>
      <c r="I280" s="1">
        <v>0</v>
      </c>
      <c r="J280" s="1">
        <f t="shared" si="31"/>
        <v>0</v>
      </c>
    </row>
    <row r="281" spans="1:10">
      <c r="A281" s="1" t="s">
        <v>22</v>
      </c>
      <c r="B281" s="1" t="str">
        <f>"祁赟业"</f>
        <v>祁赟业</v>
      </c>
      <c r="C281" s="1" t="str">
        <f t="shared" si="33"/>
        <v>女</v>
      </c>
      <c r="D281" s="1" t="str">
        <f t="shared" si="32"/>
        <v>汉族</v>
      </c>
      <c r="E281" s="1" t="str">
        <f>"15062121117"</f>
        <v>15062121117</v>
      </c>
      <c r="F281" s="1">
        <v>11</v>
      </c>
      <c r="G281" s="1">
        <v>17</v>
      </c>
      <c r="H281" s="5">
        <v>57</v>
      </c>
      <c r="I281" s="1">
        <v>0</v>
      </c>
      <c r="J281" s="1">
        <f t="shared" si="31"/>
        <v>57</v>
      </c>
    </row>
    <row r="282" spans="1:10">
      <c r="A282" s="1" t="s">
        <v>22</v>
      </c>
      <c r="B282" s="1" t="str">
        <f>"秦丽"</f>
        <v>秦丽</v>
      </c>
      <c r="C282" s="1" t="str">
        <f t="shared" si="33"/>
        <v>女</v>
      </c>
      <c r="D282" s="1" t="str">
        <f t="shared" si="32"/>
        <v>汉族</v>
      </c>
      <c r="E282" s="1" t="str">
        <f>"15062121118"</f>
        <v>15062121118</v>
      </c>
      <c r="F282" s="1">
        <v>11</v>
      </c>
      <c r="G282" s="1">
        <v>18</v>
      </c>
      <c r="H282" s="5">
        <v>54.5</v>
      </c>
      <c r="I282" s="1">
        <v>0</v>
      </c>
      <c r="J282" s="1">
        <f t="shared" si="31"/>
        <v>54.5</v>
      </c>
    </row>
    <row r="283" spans="1:10">
      <c r="A283" s="1" t="s">
        <v>22</v>
      </c>
      <c r="B283" s="1" t="str">
        <f>"闫有荣"</f>
        <v>闫有荣</v>
      </c>
      <c r="C283" s="1" t="str">
        <f t="shared" si="33"/>
        <v>女</v>
      </c>
      <c r="D283" s="1" t="str">
        <f t="shared" si="32"/>
        <v>汉族</v>
      </c>
      <c r="E283" s="1" t="str">
        <f>"15062121119"</f>
        <v>15062121119</v>
      </c>
      <c r="F283" s="1">
        <v>11</v>
      </c>
      <c r="G283" s="1">
        <v>19</v>
      </c>
      <c r="H283" s="5">
        <v>59</v>
      </c>
      <c r="I283" s="1">
        <v>0</v>
      </c>
      <c r="J283" s="1">
        <f t="shared" si="31"/>
        <v>59</v>
      </c>
    </row>
    <row r="284" spans="1:10">
      <c r="A284" s="1" t="s">
        <v>22</v>
      </c>
      <c r="B284" s="1" t="str">
        <f>"马丽"</f>
        <v>马丽</v>
      </c>
      <c r="C284" s="1" t="str">
        <f t="shared" si="33"/>
        <v>女</v>
      </c>
      <c r="D284" s="1" t="str">
        <f t="shared" si="32"/>
        <v>汉族</v>
      </c>
      <c r="E284" s="1" t="str">
        <f>"15062121120"</f>
        <v>15062121120</v>
      </c>
      <c r="F284" s="1">
        <v>11</v>
      </c>
      <c r="G284" s="1">
        <v>20</v>
      </c>
      <c r="H284" s="5">
        <v>0</v>
      </c>
      <c r="I284" s="1">
        <v>0</v>
      </c>
      <c r="J284" s="1">
        <f t="shared" si="31"/>
        <v>0</v>
      </c>
    </row>
    <row r="285" spans="1:10">
      <c r="A285" s="1" t="s">
        <v>22</v>
      </c>
      <c r="B285" s="1" t="str">
        <f>"韩晓彤"</f>
        <v>韩晓彤</v>
      </c>
      <c r="C285" s="1" t="str">
        <f t="shared" si="33"/>
        <v>女</v>
      </c>
      <c r="D285" s="1" t="str">
        <f t="shared" si="32"/>
        <v>汉族</v>
      </c>
      <c r="E285" s="1" t="str">
        <f>"15062121121"</f>
        <v>15062121121</v>
      </c>
      <c r="F285" s="1">
        <v>11</v>
      </c>
      <c r="G285" s="1">
        <v>21</v>
      </c>
      <c r="H285" s="5">
        <v>53.5</v>
      </c>
      <c r="I285" s="1">
        <v>0</v>
      </c>
      <c r="J285" s="1">
        <f t="shared" si="31"/>
        <v>53.5</v>
      </c>
    </row>
    <row r="286" spans="1:10">
      <c r="A286" s="1" t="s">
        <v>22</v>
      </c>
      <c r="B286" s="1" t="str">
        <f>"张小梅"</f>
        <v>张小梅</v>
      </c>
      <c r="C286" s="1" t="str">
        <f t="shared" si="33"/>
        <v>女</v>
      </c>
      <c r="D286" s="1" t="str">
        <f t="shared" si="32"/>
        <v>汉族</v>
      </c>
      <c r="E286" s="1" t="str">
        <f>"15062121122"</f>
        <v>15062121122</v>
      </c>
      <c r="F286" s="1">
        <v>11</v>
      </c>
      <c r="G286" s="1">
        <v>22</v>
      </c>
      <c r="H286" s="5">
        <v>0</v>
      </c>
      <c r="I286" s="1">
        <v>0</v>
      </c>
      <c r="J286" s="1">
        <f t="shared" si="31"/>
        <v>0</v>
      </c>
    </row>
    <row r="287" spans="1:10">
      <c r="A287" s="1" t="s">
        <v>22</v>
      </c>
      <c r="B287" s="1" t="str">
        <f>"吕顺"</f>
        <v>吕顺</v>
      </c>
      <c r="C287" s="1" t="str">
        <f t="shared" si="33"/>
        <v>女</v>
      </c>
      <c r="D287" s="1" t="str">
        <f t="shared" si="32"/>
        <v>汉族</v>
      </c>
      <c r="E287" s="1" t="str">
        <f>"15062121123"</f>
        <v>15062121123</v>
      </c>
      <c r="F287" s="1">
        <v>11</v>
      </c>
      <c r="G287" s="1">
        <v>23</v>
      </c>
      <c r="H287" s="5">
        <v>0</v>
      </c>
      <c r="I287" s="1">
        <v>0</v>
      </c>
      <c r="J287" s="1">
        <f t="shared" si="31"/>
        <v>0</v>
      </c>
    </row>
    <row r="288" spans="1:10">
      <c r="A288" s="1" t="s">
        <v>22</v>
      </c>
      <c r="B288" s="1" t="str">
        <f>"呼日瓦"</f>
        <v>呼日瓦</v>
      </c>
      <c r="C288" s="1" t="str">
        <f t="shared" si="33"/>
        <v>女</v>
      </c>
      <c r="D288" s="1" t="str">
        <f>"蒙古族"</f>
        <v>蒙古族</v>
      </c>
      <c r="E288" s="1" t="str">
        <f>"15062121124"</f>
        <v>15062121124</v>
      </c>
      <c r="F288" s="1">
        <v>11</v>
      </c>
      <c r="G288" s="1">
        <v>24</v>
      </c>
      <c r="H288" s="5">
        <v>64.5</v>
      </c>
      <c r="I288" s="1">
        <v>2.5</v>
      </c>
      <c r="J288" s="1">
        <f t="shared" si="31"/>
        <v>67</v>
      </c>
    </row>
    <row r="289" spans="1:10">
      <c r="A289" s="1" t="s">
        <v>22</v>
      </c>
      <c r="B289" s="1" t="str">
        <f>"王洪玲"</f>
        <v>王洪玲</v>
      </c>
      <c r="C289" s="1" t="str">
        <f t="shared" si="33"/>
        <v>女</v>
      </c>
      <c r="D289" s="1" t="str">
        <f t="shared" ref="D289:D294" si="34">"汉族"</f>
        <v>汉族</v>
      </c>
      <c r="E289" s="1" t="str">
        <f>"15062121125"</f>
        <v>15062121125</v>
      </c>
      <c r="F289" s="1">
        <v>11</v>
      </c>
      <c r="G289" s="1">
        <v>25</v>
      </c>
      <c r="H289" s="5">
        <v>0</v>
      </c>
      <c r="I289" s="1">
        <v>0</v>
      </c>
      <c r="J289" s="1">
        <f t="shared" si="31"/>
        <v>0</v>
      </c>
    </row>
    <row r="290" spans="1:10">
      <c r="A290" s="1" t="s">
        <v>22</v>
      </c>
      <c r="B290" s="1" t="str">
        <f>"谢予宁"</f>
        <v>谢予宁</v>
      </c>
      <c r="C290" s="1" t="str">
        <f t="shared" si="33"/>
        <v>女</v>
      </c>
      <c r="D290" s="1" t="str">
        <f t="shared" si="34"/>
        <v>汉族</v>
      </c>
      <c r="E290" s="1" t="str">
        <f>"15062121126"</f>
        <v>15062121126</v>
      </c>
      <c r="F290" s="1">
        <v>11</v>
      </c>
      <c r="G290" s="1">
        <v>26</v>
      </c>
      <c r="H290" s="5">
        <v>0</v>
      </c>
      <c r="I290" s="1">
        <v>0</v>
      </c>
      <c r="J290" s="1">
        <f t="shared" si="31"/>
        <v>0</v>
      </c>
    </row>
    <row r="291" spans="1:10">
      <c r="A291" s="1" t="s">
        <v>22</v>
      </c>
      <c r="B291" s="1" t="str">
        <f>"裴乐"</f>
        <v>裴乐</v>
      </c>
      <c r="C291" s="1" t="str">
        <f t="shared" si="33"/>
        <v>女</v>
      </c>
      <c r="D291" s="1" t="str">
        <f t="shared" si="34"/>
        <v>汉族</v>
      </c>
      <c r="E291" s="1" t="str">
        <f>"15062121127"</f>
        <v>15062121127</v>
      </c>
      <c r="F291" s="1">
        <v>11</v>
      </c>
      <c r="G291" s="1">
        <v>27</v>
      </c>
      <c r="H291" s="5">
        <v>76</v>
      </c>
      <c r="I291" s="1">
        <v>0</v>
      </c>
      <c r="J291" s="1">
        <f t="shared" si="31"/>
        <v>76</v>
      </c>
    </row>
    <row r="292" spans="1:10">
      <c r="A292" s="1" t="s">
        <v>22</v>
      </c>
      <c r="B292" s="1" t="str">
        <f>"菅凤姣"</f>
        <v>菅凤姣</v>
      </c>
      <c r="C292" s="1" t="str">
        <f t="shared" si="33"/>
        <v>女</v>
      </c>
      <c r="D292" s="1" t="str">
        <f t="shared" si="34"/>
        <v>汉族</v>
      </c>
      <c r="E292" s="1" t="str">
        <f>"15062121128"</f>
        <v>15062121128</v>
      </c>
      <c r="F292" s="1">
        <v>11</v>
      </c>
      <c r="G292" s="1">
        <v>28</v>
      </c>
      <c r="H292" s="5">
        <v>0</v>
      </c>
      <c r="I292" s="1">
        <v>0</v>
      </c>
      <c r="J292" s="1">
        <f t="shared" si="31"/>
        <v>0</v>
      </c>
    </row>
    <row r="293" spans="1:10">
      <c r="A293" s="1" t="s">
        <v>22</v>
      </c>
      <c r="B293" s="1" t="str">
        <f>"张凤玉"</f>
        <v>张凤玉</v>
      </c>
      <c r="C293" s="1" t="str">
        <f t="shared" si="33"/>
        <v>女</v>
      </c>
      <c r="D293" s="1" t="str">
        <f t="shared" si="34"/>
        <v>汉族</v>
      </c>
      <c r="E293" s="1" t="str">
        <f>"15062121129"</f>
        <v>15062121129</v>
      </c>
      <c r="F293" s="1">
        <v>11</v>
      </c>
      <c r="G293" s="1">
        <v>29</v>
      </c>
      <c r="H293" s="5">
        <v>0</v>
      </c>
      <c r="I293" s="1">
        <v>0</v>
      </c>
      <c r="J293" s="1">
        <f t="shared" si="31"/>
        <v>0</v>
      </c>
    </row>
    <row r="294" spans="1:10">
      <c r="A294" s="1" t="s">
        <v>22</v>
      </c>
      <c r="B294" s="1" t="str">
        <f>"高瑞"</f>
        <v>高瑞</v>
      </c>
      <c r="C294" s="1" t="str">
        <f t="shared" si="33"/>
        <v>女</v>
      </c>
      <c r="D294" s="1" t="str">
        <f t="shared" si="34"/>
        <v>汉族</v>
      </c>
      <c r="E294" s="1" t="str">
        <f>"15062121130"</f>
        <v>15062121130</v>
      </c>
      <c r="F294" s="1">
        <v>11</v>
      </c>
      <c r="G294" s="1">
        <v>30</v>
      </c>
      <c r="H294" s="5">
        <v>0</v>
      </c>
      <c r="I294" s="1">
        <v>0</v>
      </c>
      <c r="J294" s="1">
        <f t="shared" si="31"/>
        <v>0</v>
      </c>
    </row>
    <row r="295" spans="1:10">
      <c r="A295" s="1" t="s">
        <v>22</v>
      </c>
      <c r="B295" s="1" t="str">
        <f>"嘎日其嘎"</f>
        <v>嘎日其嘎</v>
      </c>
      <c r="C295" s="1" t="str">
        <f t="shared" si="33"/>
        <v>女</v>
      </c>
      <c r="D295" s="1" t="str">
        <f>"蒙古族"</f>
        <v>蒙古族</v>
      </c>
      <c r="E295" s="1" t="str">
        <f>"15062121201"</f>
        <v>15062121201</v>
      </c>
      <c r="F295" s="1">
        <v>12</v>
      </c>
      <c r="G295" s="1">
        <v>1</v>
      </c>
      <c r="H295" s="5">
        <v>0</v>
      </c>
      <c r="I295" s="1">
        <v>0</v>
      </c>
      <c r="J295" s="1">
        <f t="shared" si="31"/>
        <v>0</v>
      </c>
    </row>
    <row r="296" spans="1:10">
      <c r="A296" s="1" t="s">
        <v>22</v>
      </c>
      <c r="B296" s="1" t="str">
        <f>"杨梅"</f>
        <v>杨梅</v>
      </c>
      <c r="C296" s="1" t="str">
        <f t="shared" si="33"/>
        <v>女</v>
      </c>
      <c r="D296" s="1" t="str">
        <f t="shared" ref="D296:D301" si="35">"汉族"</f>
        <v>汉族</v>
      </c>
      <c r="E296" s="1" t="str">
        <f>"15062121202"</f>
        <v>15062121202</v>
      </c>
      <c r="F296" s="1">
        <v>12</v>
      </c>
      <c r="G296" s="1">
        <v>2</v>
      </c>
      <c r="H296" s="5">
        <v>55</v>
      </c>
      <c r="I296" s="1">
        <v>0</v>
      </c>
      <c r="J296" s="1">
        <f t="shared" si="31"/>
        <v>55</v>
      </c>
    </row>
    <row r="297" spans="1:10">
      <c r="A297" s="1" t="s">
        <v>22</v>
      </c>
      <c r="B297" s="1" t="str">
        <f>"杜鑫浦"</f>
        <v>杜鑫浦</v>
      </c>
      <c r="C297" s="1" t="str">
        <f>"男"</f>
        <v>男</v>
      </c>
      <c r="D297" s="1" t="str">
        <f t="shared" si="35"/>
        <v>汉族</v>
      </c>
      <c r="E297" s="1" t="str">
        <f>"15062121203"</f>
        <v>15062121203</v>
      </c>
      <c r="F297" s="1">
        <v>12</v>
      </c>
      <c r="G297" s="1">
        <v>3</v>
      </c>
      <c r="H297" s="5">
        <v>54.5</v>
      </c>
      <c r="I297" s="1">
        <v>0</v>
      </c>
      <c r="J297" s="1">
        <f t="shared" si="31"/>
        <v>54.5</v>
      </c>
    </row>
    <row r="298" spans="1:10">
      <c r="A298" s="1" t="s">
        <v>22</v>
      </c>
      <c r="B298" s="1" t="str">
        <f>"胡杰"</f>
        <v>胡杰</v>
      </c>
      <c r="C298" s="1" t="str">
        <f t="shared" ref="C298:C340" si="36">"女"</f>
        <v>女</v>
      </c>
      <c r="D298" s="1" t="str">
        <f t="shared" si="35"/>
        <v>汉族</v>
      </c>
      <c r="E298" s="1" t="str">
        <f>"15062121204"</f>
        <v>15062121204</v>
      </c>
      <c r="F298" s="1">
        <v>12</v>
      </c>
      <c r="G298" s="1">
        <v>4</v>
      </c>
      <c r="H298" s="5">
        <v>0</v>
      </c>
      <c r="I298" s="1">
        <v>0</v>
      </c>
      <c r="J298" s="1">
        <f t="shared" si="31"/>
        <v>0</v>
      </c>
    </row>
    <row r="299" spans="1:10">
      <c r="A299" s="1" t="s">
        <v>22</v>
      </c>
      <c r="B299" s="1" t="str">
        <f>"冯小英"</f>
        <v>冯小英</v>
      </c>
      <c r="C299" s="1" t="str">
        <f t="shared" si="36"/>
        <v>女</v>
      </c>
      <c r="D299" s="1" t="str">
        <f t="shared" si="35"/>
        <v>汉族</v>
      </c>
      <c r="E299" s="1" t="str">
        <f>"15062121205"</f>
        <v>15062121205</v>
      </c>
      <c r="F299" s="1">
        <v>12</v>
      </c>
      <c r="G299" s="1">
        <v>5</v>
      </c>
      <c r="H299" s="5">
        <v>0</v>
      </c>
      <c r="I299" s="1">
        <v>0</v>
      </c>
      <c r="J299" s="1">
        <f t="shared" si="31"/>
        <v>0</v>
      </c>
    </row>
    <row r="300" spans="1:10">
      <c r="A300" s="1" t="s">
        <v>22</v>
      </c>
      <c r="B300" s="1" t="str">
        <f>"袁慧"</f>
        <v>袁慧</v>
      </c>
      <c r="C300" s="1" t="str">
        <f t="shared" si="36"/>
        <v>女</v>
      </c>
      <c r="D300" s="1" t="str">
        <f t="shared" si="35"/>
        <v>汉族</v>
      </c>
      <c r="E300" s="1" t="str">
        <f>"15062121206"</f>
        <v>15062121206</v>
      </c>
      <c r="F300" s="1">
        <v>12</v>
      </c>
      <c r="G300" s="1">
        <v>6</v>
      </c>
      <c r="H300" s="5">
        <v>52.5</v>
      </c>
      <c r="I300" s="1">
        <v>0</v>
      </c>
      <c r="J300" s="1">
        <f t="shared" si="31"/>
        <v>52.5</v>
      </c>
    </row>
    <row r="301" spans="1:10">
      <c r="A301" s="1" t="s">
        <v>22</v>
      </c>
      <c r="B301" s="1" t="str">
        <f>"王晓妹"</f>
        <v>王晓妹</v>
      </c>
      <c r="C301" s="1" t="str">
        <f t="shared" si="36"/>
        <v>女</v>
      </c>
      <c r="D301" s="1" t="str">
        <f t="shared" si="35"/>
        <v>汉族</v>
      </c>
      <c r="E301" s="1" t="str">
        <f>"15062121207"</f>
        <v>15062121207</v>
      </c>
      <c r="F301" s="1">
        <v>12</v>
      </c>
      <c r="G301" s="1">
        <v>7</v>
      </c>
      <c r="H301" s="5">
        <v>0</v>
      </c>
      <c r="I301" s="1">
        <v>0</v>
      </c>
      <c r="J301" s="1">
        <f t="shared" si="31"/>
        <v>0</v>
      </c>
    </row>
    <row r="302" spans="1:10">
      <c r="A302" s="1" t="s">
        <v>22</v>
      </c>
      <c r="B302" s="1" t="str">
        <f>"额博"</f>
        <v>额博</v>
      </c>
      <c r="C302" s="1" t="str">
        <f t="shared" si="36"/>
        <v>女</v>
      </c>
      <c r="D302" s="1" t="str">
        <f>"蒙古族"</f>
        <v>蒙古族</v>
      </c>
      <c r="E302" s="1" t="str">
        <f>"15062121208"</f>
        <v>15062121208</v>
      </c>
      <c r="F302" s="1">
        <v>12</v>
      </c>
      <c r="G302" s="1">
        <v>8</v>
      </c>
      <c r="H302" s="5">
        <v>50</v>
      </c>
      <c r="I302" s="1">
        <v>2.5</v>
      </c>
      <c r="J302" s="1">
        <f t="shared" si="31"/>
        <v>52.5</v>
      </c>
    </row>
    <row r="303" spans="1:10">
      <c r="A303" s="1" t="s">
        <v>22</v>
      </c>
      <c r="B303" s="1" t="str">
        <f>"燕蓉"</f>
        <v>燕蓉</v>
      </c>
      <c r="C303" s="1" t="str">
        <f t="shared" si="36"/>
        <v>女</v>
      </c>
      <c r="D303" s="1" t="str">
        <f>"汉族"</f>
        <v>汉族</v>
      </c>
      <c r="E303" s="1" t="str">
        <f>"15062121209"</f>
        <v>15062121209</v>
      </c>
      <c r="F303" s="1">
        <v>12</v>
      </c>
      <c r="G303" s="1">
        <v>9</v>
      </c>
      <c r="H303" s="5">
        <v>0</v>
      </c>
      <c r="I303" s="1">
        <v>0</v>
      </c>
      <c r="J303" s="1">
        <f t="shared" si="31"/>
        <v>0</v>
      </c>
    </row>
    <row r="304" spans="1:10">
      <c r="A304" s="1" t="s">
        <v>22</v>
      </c>
      <c r="B304" s="1" t="str">
        <f>"塔娜"</f>
        <v>塔娜</v>
      </c>
      <c r="C304" s="1" t="str">
        <f t="shared" si="36"/>
        <v>女</v>
      </c>
      <c r="D304" s="1" t="str">
        <f>"蒙古族"</f>
        <v>蒙古族</v>
      </c>
      <c r="E304" s="1" t="str">
        <f>"15062121210"</f>
        <v>15062121210</v>
      </c>
      <c r="F304" s="1">
        <v>12</v>
      </c>
      <c r="G304" s="1">
        <v>10</v>
      </c>
      <c r="H304" s="5">
        <v>0</v>
      </c>
      <c r="I304" s="1">
        <v>0</v>
      </c>
      <c r="J304" s="1">
        <f t="shared" si="31"/>
        <v>0</v>
      </c>
    </row>
    <row r="305" spans="1:10">
      <c r="A305" s="1" t="s">
        <v>22</v>
      </c>
      <c r="B305" s="1" t="str">
        <f>"张旭"</f>
        <v>张旭</v>
      </c>
      <c r="C305" s="1" t="str">
        <f t="shared" si="36"/>
        <v>女</v>
      </c>
      <c r="D305" s="1" t="str">
        <f>"汉族"</f>
        <v>汉族</v>
      </c>
      <c r="E305" s="1" t="str">
        <f>"15062121211"</f>
        <v>15062121211</v>
      </c>
      <c r="F305" s="1">
        <v>12</v>
      </c>
      <c r="G305" s="1">
        <v>11</v>
      </c>
      <c r="H305" s="5">
        <v>0</v>
      </c>
      <c r="I305" s="1">
        <v>0</v>
      </c>
      <c r="J305" s="1">
        <f t="shared" si="31"/>
        <v>0</v>
      </c>
    </row>
    <row r="306" spans="1:10">
      <c r="A306" s="1" t="s">
        <v>22</v>
      </c>
      <c r="B306" s="1" t="str">
        <f>"王莎"</f>
        <v>王莎</v>
      </c>
      <c r="C306" s="1" t="str">
        <f t="shared" si="36"/>
        <v>女</v>
      </c>
      <c r="D306" s="1" t="str">
        <f>"汉族"</f>
        <v>汉族</v>
      </c>
      <c r="E306" s="1" t="str">
        <f>"15062121212"</f>
        <v>15062121212</v>
      </c>
      <c r="F306" s="1">
        <v>12</v>
      </c>
      <c r="G306" s="1">
        <v>12</v>
      </c>
      <c r="H306" s="5">
        <v>0</v>
      </c>
      <c r="I306" s="1">
        <v>0</v>
      </c>
      <c r="J306" s="1">
        <f t="shared" si="31"/>
        <v>0</v>
      </c>
    </row>
    <row r="307" spans="1:10">
      <c r="A307" s="1" t="s">
        <v>22</v>
      </c>
      <c r="B307" s="1" t="str">
        <f>"吴敏"</f>
        <v>吴敏</v>
      </c>
      <c r="C307" s="1" t="str">
        <f t="shared" si="36"/>
        <v>女</v>
      </c>
      <c r="D307" s="1" t="str">
        <f>"汉族"</f>
        <v>汉族</v>
      </c>
      <c r="E307" s="1" t="str">
        <f>"15062121213"</f>
        <v>15062121213</v>
      </c>
      <c r="F307" s="1">
        <v>12</v>
      </c>
      <c r="G307" s="1">
        <v>13</v>
      </c>
      <c r="H307" s="5">
        <v>0</v>
      </c>
      <c r="I307" s="1">
        <v>0</v>
      </c>
      <c r="J307" s="1">
        <f t="shared" si="31"/>
        <v>0</v>
      </c>
    </row>
    <row r="308" spans="1:10">
      <c r="A308" s="1" t="s">
        <v>22</v>
      </c>
      <c r="B308" s="1" t="str">
        <f>"刘娜"</f>
        <v>刘娜</v>
      </c>
      <c r="C308" s="1" t="str">
        <f t="shared" si="36"/>
        <v>女</v>
      </c>
      <c r="D308" s="1" t="str">
        <f>"汉族"</f>
        <v>汉族</v>
      </c>
      <c r="E308" s="1" t="str">
        <f>"15062121214"</f>
        <v>15062121214</v>
      </c>
      <c r="F308" s="1">
        <v>12</v>
      </c>
      <c r="G308" s="1">
        <v>14</v>
      </c>
      <c r="H308" s="5">
        <v>66</v>
      </c>
      <c r="I308" s="1">
        <v>0</v>
      </c>
      <c r="J308" s="1">
        <f t="shared" si="31"/>
        <v>66</v>
      </c>
    </row>
    <row r="309" spans="1:10">
      <c r="A309" s="1" t="s">
        <v>22</v>
      </c>
      <c r="B309" s="1" t="str">
        <f>"杨雅琴"</f>
        <v>杨雅琴</v>
      </c>
      <c r="C309" s="1" t="str">
        <f t="shared" si="36"/>
        <v>女</v>
      </c>
      <c r="D309" s="1" t="str">
        <f>"蒙古族"</f>
        <v>蒙古族</v>
      </c>
      <c r="E309" s="1" t="str">
        <f>"15062121215"</f>
        <v>15062121215</v>
      </c>
      <c r="F309" s="1">
        <v>12</v>
      </c>
      <c r="G309" s="1">
        <v>15</v>
      </c>
      <c r="H309" s="5">
        <v>0</v>
      </c>
      <c r="I309" s="1">
        <v>0</v>
      </c>
      <c r="J309" s="1">
        <f t="shared" si="31"/>
        <v>0</v>
      </c>
    </row>
    <row r="310" spans="1:10">
      <c r="A310" s="1" t="s">
        <v>22</v>
      </c>
      <c r="B310" s="1" t="str">
        <f>"郝丽雪"</f>
        <v>郝丽雪</v>
      </c>
      <c r="C310" s="1" t="str">
        <f t="shared" si="36"/>
        <v>女</v>
      </c>
      <c r="D310" s="1" t="str">
        <f t="shared" ref="D310:D320" si="37">"汉族"</f>
        <v>汉族</v>
      </c>
      <c r="E310" s="1" t="str">
        <f>"15062121216"</f>
        <v>15062121216</v>
      </c>
      <c r="F310" s="1">
        <v>12</v>
      </c>
      <c r="G310" s="1">
        <v>16</v>
      </c>
      <c r="H310" s="5">
        <v>69</v>
      </c>
      <c r="I310" s="1">
        <v>0</v>
      </c>
      <c r="J310" s="1">
        <f t="shared" si="31"/>
        <v>69</v>
      </c>
    </row>
    <row r="311" spans="1:10">
      <c r="A311" s="1" t="s">
        <v>22</v>
      </c>
      <c r="B311" s="1" t="str">
        <f>"魏婷"</f>
        <v>魏婷</v>
      </c>
      <c r="C311" s="1" t="str">
        <f t="shared" si="36"/>
        <v>女</v>
      </c>
      <c r="D311" s="1" t="str">
        <f t="shared" si="37"/>
        <v>汉族</v>
      </c>
      <c r="E311" s="1" t="str">
        <f>"15062121217"</f>
        <v>15062121217</v>
      </c>
      <c r="F311" s="1">
        <v>12</v>
      </c>
      <c r="G311" s="1">
        <v>17</v>
      </c>
      <c r="H311" s="5">
        <v>0</v>
      </c>
      <c r="I311" s="1">
        <v>0</v>
      </c>
      <c r="J311" s="1">
        <f t="shared" si="31"/>
        <v>0</v>
      </c>
    </row>
    <row r="312" spans="1:10">
      <c r="A312" s="1" t="s">
        <v>22</v>
      </c>
      <c r="B312" s="1" t="str">
        <f>"李娜"</f>
        <v>李娜</v>
      </c>
      <c r="C312" s="1" t="str">
        <f t="shared" si="36"/>
        <v>女</v>
      </c>
      <c r="D312" s="1" t="str">
        <f t="shared" si="37"/>
        <v>汉族</v>
      </c>
      <c r="E312" s="1" t="str">
        <f>"15062121218"</f>
        <v>15062121218</v>
      </c>
      <c r="F312" s="1">
        <v>12</v>
      </c>
      <c r="G312" s="1">
        <v>18</v>
      </c>
      <c r="H312" s="5">
        <v>0</v>
      </c>
      <c r="I312" s="1">
        <v>0</v>
      </c>
      <c r="J312" s="1">
        <f t="shared" si="31"/>
        <v>0</v>
      </c>
    </row>
    <row r="313" spans="1:10">
      <c r="A313" s="1" t="s">
        <v>22</v>
      </c>
      <c r="B313" s="1" t="str">
        <f>"胡婷"</f>
        <v>胡婷</v>
      </c>
      <c r="C313" s="1" t="str">
        <f t="shared" si="36"/>
        <v>女</v>
      </c>
      <c r="D313" s="1" t="str">
        <f t="shared" si="37"/>
        <v>汉族</v>
      </c>
      <c r="E313" s="1" t="str">
        <f>"15062121219"</f>
        <v>15062121219</v>
      </c>
      <c r="F313" s="1">
        <v>12</v>
      </c>
      <c r="G313" s="1">
        <v>19</v>
      </c>
      <c r="H313" s="5">
        <v>84</v>
      </c>
      <c r="I313" s="1">
        <v>0</v>
      </c>
      <c r="J313" s="1">
        <f t="shared" si="31"/>
        <v>84</v>
      </c>
    </row>
    <row r="314" spans="1:10">
      <c r="A314" s="1" t="s">
        <v>22</v>
      </c>
      <c r="B314" s="1" t="str">
        <f>"王文惠"</f>
        <v>王文惠</v>
      </c>
      <c r="C314" s="1" t="str">
        <f t="shared" si="36"/>
        <v>女</v>
      </c>
      <c r="D314" s="1" t="str">
        <f t="shared" si="37"/>
        <v>汉族</v>
      </c>
      <c r="E314" s="1" t="str">
        <f>"15062121220"</f>
        <v>15062121220</v>
      </c>
      <c r="F314" s="1">
        <v>12</v>
      </c>
      <c r="G314" s="1">
        <v>20</v>
      </c>
      <c r="H314" s="5">
        <v>0</v>
      </c>
      <c r="I314" s="1">
        <v>0</v>
      </c>
      <c r="J314" s="1">
        <f t="shared" si="31"/>
        <v>0</v>
      </c>
    </row>
    <row r="315" spans="1:10">
      <c r="A315" s="1" t="s">
        <v>22</v>
      </c>
      <c r="B315" s="1" t="str">
        <f>"魏婷"</f>
        <v>魏婷</v>
      </c>
      <c r="C315" s="1" t="str">
        <f t="shared" si="36"/>
        <v>女</v>
      </c>
      <c r="D315" s="1" t="str">
        <f t="shared" si="37"/>
        <v>汉族</v>
      </c>
      <c r="E315" s="1" t="str">
        <f>"15062121221"</f>
        <v>15062121221</v>
      </c>
      <c r="F315" s="1">
        <v>12</v>
      </c>
      <c r="G315" s="1">
        <v>21</v>
      </c>
      <c r="H315" s="5">
        <v>0</v>
      </c>
      <c r="I315" s="1">
        <v>0</v>
      </c>
      <c r="J315" s="1">
        <f t="shared" si="31"/>
        <v>0</v>
      </c>
    </row>
    <row r="316" spans="1:10">
      <c r="A316" s="1" t="s">
        <v>22</v>
      </c>
      <c r="B316" s="1" t="str">
        <f>"崔彦娟"</f>
        <v>崔彦娟</v>
      </c>
      <c r="C316" s="1" t="str">
        <f t="shared" si="36"/>
        <v>女</v>
      </c>
      <c r="D316" s="1" t="str">
        <f t="shared" si="37"/>
        <v>汉族</v>
      </c>
      <c r="E316" s="1" t="str">
        <f>"15062121222"</f>
        <v>15062121222</v>
      </c>
      <c r="F316" s="1">
        <v>12</v>
      </c>
      <c r="G316" s="1">
        <v>22</v>
      </c>
      <c r="H316" s="5">
        <v>64.5</v>
      </c>
      <c r="I316" s="1">
        <v>0</v>
      </c>
      <c r="J316" s="1">
        <f t="shared" si="31"/>
        <v>64.5</v>
      </c>
    </row>
    <row r="317" spans="1:10">
      <c r="A317" s="1" t="s">
        <v>22</v>
      </c>
      <c r="B317" s="1" t="str">
        <f>"王娜"</f>
        <v>王娜</v>
      </c>
      <c r="C317" s="1" t="str">
        <f t="shared" si="36"/>
        <v>女</v>
      </c>
      <c r="D317" s="1" t="str">
        <f t="shared" si="37"/>
        <v>汉族</v>
      </c>
      <c r="E317" s="1" t="str">
        <f>"15062121223"</f>
        <v>15062121223</v>
      </c>
      <c r="F317" s="1">
        <v>12</v>
      </c>
      <c r="G317" s="1">
        <v>23</v>
      </c>
      <c r="H317" s="5">
        <v>0</v>
      </c>
      <c r="I317" s="1">
        <v>0</v>
      </c>
      <c r="J317" s="1">
        <f t="shared" si="31"/>
        <v>0</v>
      </c>
    </row>
    <row r="318" spans="1:10">
      <c r="A318" s="1" t="s">
        <v>22</v>
      </c>
      <c r="B318" s="1" t="str">
        <f>"张静"</f>
        <v>张静</v>
      </c>
      <c r="C318" s="1" t="str">
        <f t="shared" si="36"/>
        <v>女</v>
      </c>
      <c r="D318" s="1" t="str">
        <f t="shared" si="37"/>
        <v>汉族</v>
      </c>
      <c r="E318" s="1" t="str">
        <f>"15062121224"</f>
        <v>15062121224</v>
      </c>
      <c r="F318" s="1">
        <v>12</v>
      </c>
      <c r="G318" s="1">
        <v>24</v>
      </c>
      <c r="H318" s="5">
        <v>0</v>
      </c>
      <c r="I318" s="1">
        <v>0</v>
      </c>
      <c r="J318" s="1">
        <f t="shared" si="31"/>
        <v>0</v>
      </c>
    </row>
    <row r="319" spans="1:10">
      <c r="A319" s="1" t="s">
        <v>22</v>
      </c>
      <c r="B319" s="1" t="str">
        <f>"李清平"</f>
        <v>李清平</v>
      </c>
      <c r="C319" s="1" t="str">
        <f t="shared" si="36"/>
        <v>女</v>
      </c>
      <c r="D319" s="1" t="str">
        <f t="shared" si="37"/>
        <v>汉族</v>
      </c>
      <c r="E319" s="1" t="str">
        <f>"15062121225"</f>
        <v>15062121225</v>
      </c>
      <c r="F319" s="1">
        <v>12</v>
      </c>
      <c r="G319" s="1">
        <v>25</v>
      </c>
      <c r="H319" s="5">
        <v>51</v>
      </c>
      <c r="I319" s="1">
        <v>0</v>
      </c>
      <c r="J319" s="1">
        <f t="shared" si="31"/>
        <v>51</v>
      </c>
    </row>
    <row r="320" spans="1:10">
      <c r="A320" s="1" t="s">
        <v>22</v>
      </c>
      <c r="B320" s="1" t="str">
        <f>"付小丽"</f>
        <v>付小丽</v>
      </c>
      <c r="C320" s="1" t="str">
        <f t="shared" si="36"/>
        <v>女</v>
      </c>
      <c r="D320" s="1" t="str">
        <f t="shared" si="37"/>
        <v>汉族</v>
      </c>
      <c r="E320" s="1" t="str">
        <f>"15062121226"</f>
        <v>15062121226</v>
      </c>
      <c r="F320" s="1">
        <v>12</v>
      </c>
      <c r="G320" s="1">
        <v>26</v>
      </c>
      <c r="H320" s="5">
        <v>67</v>
      </c>
      <c r="I320" s="1">
        <v>0</v>
      </c>
      <c r="J320" s="1">
        <f t="shared" si="31"/>
        <v>67</v>
      </c>
    </row>
    <row r="321" spans="1:10">
      <c r="A321" s="1" t="s">
        <v>22</v>
      </c>
      <c r="B321" s="1" t="str">
        <f>"杨晓红"</f>
        <v>杨晓红</v>
      </c>
      <c r="C321" s="1" t="str">
        <f t="shared" si="36"/>
        <v>女</v>
      </c>
      <c r="D321" s="1" t="str">
        <f>"蒙古族"</f>
        <v>蒙古族</v>
      </c>
      <c r="E321" s="1" t="str">
        <f>"15062121227"</f>
        <v>15062121227</v>
      </c>
      <c r="F321" s="1">
        <v>12</v>
      </c>
      <c r="G321" s="1">
        <v>27</v>
      </c>
      <c r="H321" s="5">
        <v>0</v>
      </c>
      <c r="I321" s="1">
        <v>0</v>
      </c>
      <c r="J321" s="1">
        <f t="shared" si="31"/>
        <v>0</v>
      </c>
    </row>
    <row r="322" spans="1:10">
      <c r="A322" s="1" t="s">
        <v>22</v>
      </c>
      <c r="B322" s="1" t="str">
        <f>"武艳"</f>
        <v>武艳</v>
      </c>
      <c r="C322" s="1" t="str">
        <f t="shared" si="36"/>
        <v>女</v>
      </c>
      <c r="D322" s="1" t="str">
        <f t="shared" ref="D322:D331" si="38">"汉族"</f>
        <v>汉族</v>
      </c>
      <c r="E322" s="1" t="str">
        <f>"15062121228"</f>
        <v>15062121228</v>
      </c>
      <c r="F322" s="1">
        <v>12</v>
      </c>
      <c r="G322" s="1">
        <v>28</v>
      </c>
      <c r="H322" s="5">
        <v>49</v>
      </c>
      <c r="I322" s="1">
        <v>0</v>
      </c>
      <c r="J322" s="1">
        <f t="shared" si="31"/>
        <v>49</v>
      </c>
    </row>
    <row r="323" spans="1:10">
      <c r="A323" s="1" t="s">
        <v>22</v>
      </c>
      <c r="B323" s="1" t="str">
        <f>"王晓梅"</f>
        <v>王晓梅</v>
      </c>
      <c r="C323" s="1" t="str">
        <f t="shared" si="36"/>
        <v>女</v>
      </c>
      <c r="D323" s="1" t="str">
        <f t="shared" si="38"/>
        <v>汉族</v>
      </c>
      <c r="E323" s="1" t="str">
        <f>"15062121229"</f>
        <v>15062121229</v>
      </c>
      <c r="F323" s="1">
        <v>12</v>
      </c>
      <c r="G323" s="1">
        <v>29</v>
      </c>
      <c r="H323" s="5">
        <v>52.5</v>
      </c>
      <c r="I323" s="1">
        <v>0</v>
      </c>
      <c r="J323" s="1">
        <f t="shared" ref="J323:J384" si="39">H323+I323</f>
        <v>52.5</v>
      </c>
    </row>
    <row r="324" spans="1:10">
      <c r="A324" s="1" t="s">
        <v>22</v>
      </c>
      <c r="B324" s="1" t="str">
        <f>"杨花"</f>
        <v>杨花</v>
      </c>
      <c r="C324" s="1" t="str">
        <f t="shared" si="36"/>
        <v>女</v>
      </c>
      <c r="D324" s="1" t="str">
        <f t="shared" si="38"/>
        <v>汉族</v>
      </c>
      <c r="E324" s="1" t="str">
        <f>"15062121230"</f>
        <v>15062121230</v>
      </c>
      <c r="F324" s="1">
        <v>12</v>
      </c>
      <c r="G324" s="1">
        <v>30</v>
      </c>
      <c r="H324" s="5">
        <v>63.5</v>
      </c>
      <c r="I324" s="1">
        <v>0</v>
      </c>
      <c r="J324" s="1">
        <f t="shared" si="39"/>
        <v>63.5</v>
      </c>
    </row>
    <row r="325" spans="1:10">
      <c r="A325" s="1" t="s">
        <v>22</v>
      </c>
      <c r="B325" s="1" t="str">
        <f>"常海燕"</f>
        <v>常海燕</v>
      </c>
      <c r="C325" s="1" t="str">
        <f t="shared" si="36"/>
        <v>女</v>
      </c>
      <c r="D325" s="1" t="str">
        <f t="shared" si="38"/>
        <v>汉族</v>
      </c>
      <c r="E325" s="1" t="str">
        <f>"15062121301"</f>
        <v>15062121301</v>
      </c>
      <c r="F325" s="1">
        <v>13</v>
      </c>
      <c r="G325" s="1">
        <v>1</v>
      </c>
      <c r="H325" s="5">
        <v>0</v>
      </c>
      <c r="I325" s="1">
        <v>0</v>
      </c>
      <c r="J325" s="1">
        <f t="shared" si="39"/>
        <v>0</v>
      </c>
    </row>
    <row r="326" spans="1:10">
      <c r="A326" s="1" t="s">
        <v>22</v>
      </c>
      <c r="B326" s="1" t="str">
        <f>"李婷"</f>
        <v>李婷</v>
      </c>
      <c r="C326" s="1" t="str">
        <f t="shared" si="36"/>
        <v>女</v>
      </c>
      <c r="D326" s="1" t="str">
        <f t="shared" si="38"/>
        <v>汉族</v>
      </c>
      <c r="E326" s="1" t="str">
        <f>"15062121302"</f>
        <v>15062121302</v>
      </c>
      <c r="F326" s="1">
        <v>13</v>
      </c>
      <c r="G326" s="1">
        <v>2</v>
      </c>
      <c r="H326" s="5">
        <v>0</v>
      </c>
      <c r="I326" s="1">
        <v>0</v>
      </c>
      <c r="J326" s="1">
        <f t="shared" si="39"/>
        <v>0</v>
      </c>
    </row>
    <row r="327" spans="1:10">
      <c r="A327" s="1" t="s">
        <v>22</v>
      </c>
      <c r="B327" s="1" t="str">
        <f>"苏曦彤"</f>
        <v>苏曦彤</v>
      </c>
      <c r="C327" s="1" t="str">
        <f t="shared" si="36"/>
        <v>女</v>
      </c>
      <c r="D327" s="1" t="str">
        <f t="shared" si="38"/>
        <v>汉族</v>
      </c>
      <c r="E327" s="1" t="str">
        <f>"15062121303"</f>
        <v>15062121303</v>
      </c>
      <c r="F327" s="1">
        <v>13</v>
      </c>
      <c r="G327" s="1">
        <v>3</v>
      </c>
      <c r="H327" s="5">
        <v>0</v>
      </c>
      <c r="I327" s="1">
        <v>0</v>
      </c>
      <c r="J327" s="1">
        <f t="shared" si="39"/>
        <v>0</v>
      </c>
    </row>
    <row r="328" spans="1:10">
      <c r="A328" s="1" t="s">
        <v>22</v>
      </c>
      <c r="B328" s="1" t="str">
        <f>"李昊楠"</f>
        <v>李昊楠</v>
      </c>
      <c r="C328" s="1" t="str">
        <f t="shared" si="36"/>
        <v>女</v>
      </c>
      <c r="D328" s="1" t="str">
        <f t="shared" si="38"/>
        <v>汉族</v>
      </c>
      <c r="E328" s="1" t="str">
        <f>"15062121304"</f>
        <v>15062121304</v>
      </c>
      <c r="F328" s="1">
        <v>13</v>
      </c>
      <c r="G328" s="1">
        <v>4</v>
      </c>
      <c r="H328" s="5">
        <v>52.5</v>
      </c>
      <c r="I328" s="1">
        <v>0</v>
      </c>
      <c r="J328" s="1">
        <f t="shared" si="39"/>
        <v>52.5</v>
      </c>
    </row>
    <row r="329" spans="1:10">
      <c r="A329" s="1" t="s">
        <v>22</v>
      </c>
      <c r="B329" s="1" t="str">
        <f>"苗雨花"</f>
        <v>苗雨花</v>
      </c>
      <c r="C329" s="1" t="str">
        <f t="shared" si="36"/>
        <v>女</v>
      </c>
      <c r="D329" s="1" t="str">
        <f t="shared" si="38"/>
        <v>汉族</v>
      </c>
      <c r="E329" s="1" t="str">
        <f>"15062121305"</f>
        <v>15062121305</v>
      </c>
      <c r="F329" s="1">
        <v>13</v>
      </c>
      <c r="G329" s="1">
        <v>5</v>
      </c>
      <c r="H329" s="5">
        <v>0</v>
      </c>
      <c r="I329" s="1">
        <v>0</v>
      </c>
      <c r="J329" s="1">
        <f t="shared" si="39"/>
        <v>0</v>
      </c>
    </row>
    <row r="330" spans="1:10">
      <c r="A330" s="1" t="s">
        <v>22</v>
      </c>
      <c r="B330" s="1" t="str">
        <f>"郭霞"</f>
        <v>郭霞</v>
      </c>
      <c r="C330" s="1" t="str">
        <f t="shared" si="36"/>
        <v>女</v>
      </c>
      <c r="D330" s="1" t="str">
        <f t="shared" si="38"/>
        <v>汉族</v>
      </c>
      <c r="E330" s="1" t="str">
        <f>"15062121306"</f>
        <v>15062121306</v>
      </c>
      <c r="F330" s="1">
        <v>13</v>
      </c>
      <c r="G330" s="1">
        <v>6</v>
      </c>
      <c r="H330" s="5">
        <v>0</v>
      </c>
      <c r="I330" s="1">
        <v>0</v>
      </c>
      <c r="J330" s="1">
        <f t="shared" si="39"/>
        <v>0</v>
      </c>
    </row>
    <row r="331" spans="1:10">
      <c r="A331" s="1" t="s">
        <v>22</v>
      </c>
      <c r="B331" s="1" t="str">
        <f>"陈旭楠"</f>
        <v>陈旭楠</v>
      </c>
      <c r="C331" s="1" t="str">
        <f t="shared" si="36"/>
        <v>女</v>
      </c>
      <c r="D331" s="1" t="str">
        <f t="shared" si="38"/>
        <v>汉族</v>
      </c>
      <c r="E331" s="1" t="str">
        <f>"15062121307"</f>
        <v>15062121307</v>
      </c>
      <c r="F331" s="1">
        <v>13</v>
      </c>
      <c r="G331" s="1">
        <v>7</v>
      </c>
      <c r="H331" s="5">
        <v>0</v>
      </c>
      <c r="I331" s="1">
        <v>0</v>
      </c>
      <c r="J331" s="1">
        <f t="shared" si="39"/>
        <v>0</v>
      </c>
    </row>
    <row r="332" spans="1:10">
      <c r="A332" s="1" t="s">
        <v>22</v>
      </c>
      <c r="B332" s="1" t="str">
        <f>"杜星星"</f>
        <v>杜星星</v>
      </c>
      <c r="C332" s="1" t="str">
        <f t="shared" si="36"/>
        <v>女</v>
      </c>
      <c r="D332" s="1" t="str">
        <f>"蒙古族"</f>
        <v>蒙古族</v>
      </c>
      <c r="E332" s="1" t="str">
        <f>"15062121308"</f>
        <v>15062121308</v>
      </c>
      <c r="F332" s="1">
        <v>13</v>
      </c>
      <c r="G332" s="1">
        <v>8</v>
      </c>
      <c r="H332" s="5">
        <v>70.5</v>
      </c>
      <c r="I332" s="1">
        <v>2.5</v>
      </c>
      <c r="J332" s="1">
        <f t="shared" si="39"/>
        <v>73</v>
      </c>
    </row>
    <row r="333" spans="1:10">
      <c r="A333" s="1" t="s">
        <v>22</v>
      </c>
      <c r="B333" s="1" t="str">
        <f>"刘霞"</f>
        <v>刘霞</v>
      </c>
      <c r="C333" s="1" t="str">
        <f t="shared" si="36"/>
        <v>女</v>
      </c>
      <c r="D333" s="1" t="str">
        <f>"汉族"</f>
        <v>汉族</v>
      </c>
      <c r="E333" s="1" t="str">
        <f>"15062121309"</f>
        <v>15062121309</v>
      </c>
      <c r="F333" s="1">
        <v>13</v>
      </c>
      <c r="G333" s="1">
        <v>9</v>
      </c>
      <c r="H333" s="5">
        <v>62.5</v>
      </c>
      <c r="I333" s="1">
        <v>0</v>
      </c>
      <c r="J333" s="1">
        <f t="shared" si="39"/>
        <v>62.5</v>
      </c>
    </row>
    <row r="334" spans="1:10">
      <c r="A334" s="1" t="s">
        <v>22</v>
      </c>
      <c r="B334" s="1" t="str">
        <f>"王图雅"</f>
        <v>王图雅</v>
      </c>
      <c r="C334" s="1" t="str">
        <f t="shared" si="36"/>
        <v>女</v>
      </c>
      <c r="D334" s="1" t="str">
        <f>"蒙古族"</f>
        <v>蒙古族</v>
      </c>
      <c r="E334" s="1" t="str">
        <f>"15062121310"</f>
        <v>15062121310</v>
      </c>
      <c r="F334" s="1">
        <v>13</v>
      </c>
      <c r="G334" s="1">
        <v>10</v>
      </c>
      <c r="H334" s="5">
        <v>63.5</v>
      </c>
      <c r="I334" s="1">
        <v>2.5</v>
      </c>
      <c r="J334" s="1">
        <f t="shared" si="39"/>
        <v>66</v>
      </c>
    </row>
    <row r="335" spans="1:10">
      <c r="A335" s="1" t="s">
        <v>22</v>
      </c>
      <c r="B335" s="1" t="str">
        <f>"杨婷"</f>
        <v>杨婷</v>
      </c>
      <c r="C335" s="1" t="str">
        <f t="shared" si="36"/>
        <v>女</v>
      </c>
      <c r="D335" s="1" t="str">
        <f t="shared" ref="D335:D343" si="40">"汉族"</f>
        <v>汉族</v>
      </c>
      <c r="E335" s="1" t="str">
        <f>"15062121311"</f>
        <v>15062121311</v>
      </c>
      <c r="F335" s="1">
        <v>13</v>
      </c>
      <c r="G335" s="1">
        <v>11</v>
      </c>
      <c r="H335" s="5">
        <v>0</v>
      </c>
      <c r="I335" s="1">
        <v>0</v>
      </c>
      <c r="J335" s="1">
        <f t="shared" si="39"/>
        <v>0</v>
      </c>
    </row>
    <row r="336" spans="1:10">
      <c r="A336" s="1" t="s">
        <v>22</v>
      </c>
      <c r="B336" s="1" t="str">
        <f>"李芪"</f>
        <v>李芪</v>
      </c>
      <c r="C336" s="1" t="str">
        <f t="shared" si="36"/>
        <v>女</v>
      </c>
      <c r="D336" s="1" t="str">
        <f t="shared" si="40"/>
        <v>汉族</v>
      </c>
      <c r="E336" s="1" t="str">
        <f>"15062121312"</f>
        <v>15062121312</v>
      </c>
      <c r="F336" s="1">
        <v>13</v>
      </c>
      <c r="G336" s="1">
        <v>12</v>
      </c>
      <c r="H336" s="5">
        <v>54</v>
      </c>
      <c r="I336" s="1">
        <v>0</v>
      </c>
      <c r="J336" s="1">
        <f t="shared" si="39"/>
        <v>54</v>
      </c>
    </row>
    <row r="337" spans="1:10">
      <c r="A337" s="1" t="s">
        <v>22</v>
      </c>
      <c r="B337" s="1" t="str">
        <f>"思彩霞"</f>
        <v>思彩霞</v>
      </c>
      <c r="C337" s="1" t="str">
        <f t="shared" si="36"/>
        <v>女</v>
      </c>
      <c r="D337" s="1" t="str">
        <f t="shared" si="40"/>
        <v>汉族</v>
      </c>
      <c r="E337" s="1" t="str">
        <f>"15062121313"</f>
        <v>15062121313</v>
      </c>
      <c r="F337" s="1">
        <v>13</v>
      </c>
      <c r="G337" s="1">
        <v>13</v>
      </c>
      <c r="H337" s="5">
        <v>63.5</v>
      </c>
      <c r="I337" s="1">
        <v>0</v>
      </c>
      <c r="J337" s="1">
        <f t="shared" si="39"/>
        <v>63.5</v>
      </c>
    </row>
    <row r="338" spans="1:10">
      <c r="A338" s="1" t="s">
        <v>22</v>
      </c>
      <c r="B338" s="1" t="str">
        <f>"汉交"</f>
        <v>汉交</v>
      </c>
      <c r="C338" s="1" t="str">
        <f t="shared" si="36"/>
        <v>女</v>
      </c>
      <c r="D338" s="1" t="str">
        <f t="shared" si="40"/>
        <v>汉族</v>
      </c>
      <c r="E338" s="1" t="str">
        <f>"15062121314"</f>
        <v>15062121314</v>
      </c>
      <c r="F338" s="1">
        <v>13</v>
      </c>
      <c r="G338" s="1">
        <v>14</v>
      </c>
      <c r="H338" s="5">
        <v>63.5</v>
      </c>
      <c r="I338" s="1">
        <v>0</v>
      </c>
      <c r="J338" s="1">
        <f t="shared" si="39"/>
        <v>63.5</v>
      </c>
    </row>
    <row r="339" spans="1:10">
      <c r="A339" s="1" t="s">
        <v>22</v>
      </c>
      <c r="B339" s="1" t="str">
        <f>"朱蓓蓓"</f>
        <v>朱蓓蓓</v>
      </c>
      <c r="C339" s="1" t="str">
        <f t="shared" si="36"/>
        <v>女</v>
      </c>
      <c r="D339" s="1" t="str">
        <f t="shared" si="40"/>
        <v>汉族</v>
      </c>
      <c r="E339" s="1" t="str">
        <f>"15062121315"</f>
        <v>15062121315</v>
      </c>
      <c r="F339" s="1">
        <v>13</v>
      </c>
      <c r="G339" s="1">
        <v>15</v>
      </c>
      <c r="H339" s="5">
        <v>44</v>
      </c>
      <c r="I339" s="1">
        <v>0</v>
      </c>
      <c r="J339" s="1">
        <f t="shared" si="39"/>
        <v>44</v>
      </c>
    </row>
    <row r="340" spans="1:10">
      <c r="A340" s="1" t="s">
        <v>22</v>
      </c>
      <c r="B340" s="1" t="str">
        <f>"马艳平"</f>
        <v>马艳平</v>
      </c>
      <c r="C340" s="1" t="str">
        <f t="shared" si="36"/>
        <v>女</v>
      </c>
      <c r="D340" s="1" t="str">
        <f t="shared" si="40"/>
        <v>汉族</v>
      </c>
      <c r="E340" s="1" t="str">
        <f>"15062121316"</f>
        <v>15062121316</v>
      </c>
      <c r="F340" s="1">
        <v>13</v>
      </c>
      <c r="G340" s="1">
        <v>16</v>
      </c>
      <c r="H340" s="5">
        <v>59.5</v>
      </c>
      <c r="I340" s="1">
        <v>0</v>
      </c>
      <c r="J340" s="1">
        <f t="shared" si="39"/>
        <v>59.5</v>
      </c>
    </row>
    <row r="341" spans="1:10">
      <c r="A341" s="1" t="s">
        <v>22</v>
      </c>
      <c r="B341" s="1" t="str">
        <f>"刘瑶"</f>
        <v>刘瑶</v>
      </c>
      <c r="C341" s="1" t="str">
        <f>"男"</f>
        <v>男</v>
      </c>
      <c r="D341" s="1" t="str">
        <f t="shared" si="40"/>
        <v>汉族</v>
      </c>
      <c r="E341" s="1" t="str">
        <f>"15062121317"</f>
        <v>15062121317</v>
      </c>
      <c r="F341" s="1">
        <v>13</v>
      </c>
      <c r="G341" s="1">
        <v>17</v>
      </c>
      <c r="H341" s="5">
        <v>0</v>
      </c>
      <c r="I341" s="1">
        <v>0</v>
      </c>
      <c r="J341" s="1">
        <f t="shared" si="39"/>
        <v>0</v>
      </c>
    </row>
    <row r="342" spans="1:10">
      <c r="A342" s="1" t="s">
        <v>22</v>
      </c>
      <c r="B342" s="1" t="str">
        <f>"康娜"</f>
        <v>康娜</v>
      </c>
      <c r="C342" s="1" t="str">
        <f t="shared" ref="C342:C354" si="41">"女"</f>
        <v>女</v>
      </c>
      <c r="D342" s="1" t="str">
        <f t="shared" si="40"/>
        <v>汉族</v>
      </c>
      <c r="E342" s="1" t="str">
        <f>"15062121318"</f>
        <v>15062121318</v>
      </c>
      <c r="F342" s="1">
        <v>13</v>
      </c>
      <c r="G342" s="1">
        <v>18</v>
      </c>
      <c r="H342" s="5">
        <v>52.5</v>
      </c>
      <c r="I342" s="1">
        <v>0</v>
      </c>
      <c r="J342" s="1">
        <f t="shared" si="39"/>
        <v>52.5</v>
      </c>
    </row>
    <row r="343" spans="1:10">
      <c r="A343" s="1" t="s">
        <v>22</v>
      </c>
      <c r="B343" s="1" t="str">
        <f>"王玉英"</f>
        <v>王玉英</v>
      </c>
      <c r="C343" s="1" t="str">
        <f t="shared" si="41"/>
        <v>女</v>
      </c>
      <c r="D343" s="1" t="str">
        <f t="shared" si="40"/>
        <v>汉族</v>
      </c>
      <c r="E343" s="1" t="str">
        <f>"15062121319"</f>
        <v>15062121319</v>
      </c>
      <c r="F343" s="1">
        <v>13</v>
      </c>
      <c r="G343" s="1">
        <v>19</v>
      </c>
      <c r="H343" s="5">
        <v>57</v>
      </c>
      <c r="I343" s="1">
        <v>0</v>
      </c>
      <c r="J343" s="1">
        <f t="shared" si="39"/>
        <v>57</v>
      </c>
    </row>
    <row r="344" spans="1:10">
      <c r="A344" s="1" t="s">
        <v>22</v>
      </c>
      <c r="B344" s="1" t="str">
        <f>"娜日格乐"</f>
        <v>娜日格乐</v>
      </c>
      <c r="C344" s="1" t="str">
        <f t="shared" si="41"/>
        <v>女</v>
      </c>
      <c r="D344" s="1" t="str">
        <f>"蒙古族"</f>
        <v>蒙古族</v>
      </c>
      <c r="E344" s="1" t="str">
        <f>"15062121320"</f>
        <v>15062121320</v>
      </c>
      <c r="F344" s="1">
        <v>13</v>
      </c>
      <c r="G344" s="1">
        <v>20</v>
      </c>
      <c r="H344" s="5">
        <v>47</v>
      </c>
      <c r="I344" s="1">
        <v>2.5</v>
      </c>
      <c r="J344" s="1">
        <f t="shared" si="39"/>
        <v>49.5</v>
      </c>
    </row>
    <row r="345" spans="1:10">
      <c r="A345" s="1" t="s">
        <v>22</v>
      </c>
      <c r="B345" s="1" t="str">
        <f>"王晓燕"</f>
        <v>王晓燕</v>
      </c>
      <c r="C345" s="1" t="str">
        <f t="shared" si="41"/>
        <v>女</v>
      </c>
      <c r="D345" s="1" t="str">
        <f t="shared" ref="D345:D350" si="42">"汉族"</f>
        <v>汉族</v>
      </c>
      <c r="E345" s="1" t="str">
        <f>"15062121321"</f>
        <v>15062121321</v>
      </c>
      <c r="F345" s="1">
        <v>13</v>
      </c>
      <c r="G345" s="1">
        <v>21</v>
      </c>
      <c r="H345" s="5">
        <v>51.5</v>
      </c>
      <c r="I345" s="1">
        <v>0</v>
      </c>
      <c r="J345" s="1">
        <f t="shared" si="39"/>
        <v>51.5</v>
      </c>
    </row>
    <row r="346" spans="1:10">
      <c r="A346" s="1" t="s">
        <v>22</v>
      </c>
      <c r="B346" s="1" t="str">
        <f>"陈瑞"</f>
        <v>陈瑞</v>
      </c>
      <c r="C346" s="1" t="str">
        <f t="shared" si="41"/>
        <v>女</v>
      </c>
      <c r="D346" s="1" t="str">
        <f t="shared" si="42"/>
        <v>汉族</v>
      </c>
      <c r="E346" s="1" t="str">
        <f>"15062121322"</f>
        <v>15062121322</v>
      </c>
      <c r="F346" s="1">
        <v>13</v>
      </c>
      <c r="G346" s="1">
        <v>22</v>
      </c>
      <c r="H346" s="5">
        <v>0</v>
      </c>
      <c r="I346" s="1">
        <v>0</v>
      </c>
      <c r="J346" s="1">
        <f t="shared" si="39"/>
        <v>0</v>
      </c>
    </row>
    <row r="347" spans="1:10">
      <c r="A347" s="1" t="s">
        <v>22</v>
      </c>
      <c r="B347" s="1" t="str">
        <f>"辛乐"</f>
        <v>辛乐</v>
      </c>
      <c r="C347" s="1" t="str">
        <f t="shared" si="41"/>
        <v>女</v>
      </c>
      <c r="D347" s="1" t="str">
        <f t="shared" si="42"/>
        <v>汉族</v>
      </c>
      <c r="E347" s="1" t="str">
        <f>"15062121323"</f>
        <v>15062121323</v>
      </c>
      <c r="F347" s="1">
        <v>13</v>
      </c>
      <c r="G347" s="1">
        <v>23</v>
      </c>
      <c r="H347" s="5">
        <v>68.5</v>
      </c>
      <c r="I347" s="1">
        <v>0</v>
      </c>
      <c r="J347" s="1">
        <f t="shared" si="39"/>
        <v>68.5</v>
      </c>
    </row>
    <row r="348" spans="1:10">
      <c r="A348" s="1" t="s">
        <v>22</v>
      </c>
      <c r="B348" s="1" t="str">
        <f>"李璐璐"</f>
        <v>李璐璐</v>
      </c>
      <c r="C348" s="1" t="str">
        <f t="shared" si="41"/>
        <v>女</v>
      </c>
      <c r="D348" s="1" t="str">
        <f t="shared" si="42"/>
        <v>汉族</v>
      </c>
      <c r="E348" s="1" t="str">
        <f>"15062121324"</f>
        <v>15062121324</v>
      </c>
      <c r="F348" s="1">
        <v>13</v>
      </c>
      <c r="G348" s="1">
        <v>24</v>
      </c>
      <c r="H348" s="5">
        <v>0</v>
      </c>
      <c r="I348" s="1">
        <v>0</v>
      </c>
      <c r="J348" s="1">
        <f t="shared" si="39"/>
        <v>0</v>
      </c>
    </row>
    <row r="349" spans="1:10">
      <c r="A349" s="1" t="s">
        <v>22</v>
      </c>
      <c r="B349" s="1" t="str">
        <f>"李敏"</f>
        <v>李敏</v>
      </c>
      <c r="C349" s="1" t="str">
        <f t="shared" si="41"/>
        <v>女</v>
      </c>
      <c r="D349" s="1" t="str">
        <f t="shared" si="42"/>
        <v>汉族</v>
      </c>
      <c r="E349" s="1" t="str">
        <f>"15062121325"</f>
        <v>15062121325</v>
      </c>
      <c r="F349" s="1">
        <v>13</v>
      </c>
      <c r="G349" s="1">
        <v>25</v>
      </c>
      <c r="H349" s="5">
        <v>69</v>
      </c>
      <c r="I349" s="1">
        <v>0</v>
      </c>
      <c r="J349" s="1">
        <f t="shared" si="39"/>
        <v>69</v>
      </c>
    </row>
    <row r="350" spans="1:10">
      <c r="A350" s="1" t="s">
        <v>22</v>
      </c>
      <c r="B350" s="1" t="str">
        <f>"李羽"</f>
        <v>李羽</v>
      </c>
      <c r="C350" s="1" t="str">
        <f t="shared" si="41"/>
        <v>女</v>
      </c>
      <c r="D350" s="1" t="str">
        <f t="shared" si="42"/>
        <v>汉族</v>
      </c>
      <c r="E350" s="1" t="str">
        <f>"15062121326"</f>
        <v>15062121326</v>
      </c>
      <c r="F350" s="1">
        <v>13</v>
      </c>
      <c r="G350" s="1">
        <v>26</v>
      </c>
      <c r="H350" s="5">
        <v>0</v>
      </c>
      <c r="I350" s="1">
        <v>0</v>
      </c>
      <c r="J350" s="1">
        <f t="shared" si="39"/>
        <v>0</v>
      </c>
    </row>
    <row r="351" spans="1:10">
      <c r="A351" s="1" t="s">
        <v>22</v>
      </c>
      <c r="B351" s="1" t="str">
        <f>"黄命"</f>
        <v>黄命</v>
      </c>
      <c r="C351" s="1" t="str">
        <f t="shared" si="41"/>
        <v>女</v>
      </c>
      <c r="D351" s="1" t="str">
        <f>"蒙古族"</f>
        <v>蒙古族</v>
      </c>
      <c r="E351" s="1" t="str">
        <f>"15062121327"</f>
        <v>15062121327</v>
      </c>
      <c r="F351" s="1">
        <v>13</v>
      </c>
      <c r="G351" s="1">
        <v>27</v>
      </c>
      <c r="H351" s="5">
        <v>53.5</v>
      </c>
      <c r="I351" s="1">
        <v>2.5</v>
      </c>
      <c r="J351" s="1">
        <f t="shared" si="39"/>
        <v>56</v>
      </c>
    </row>
    <row r="352" spans="1:10">
      <c r="A352" s="1" t="s">
        <v>22</v>
      </c>
      <c r="B352" s="1" t="str">
        <f>"张娟"</f>
        <v>张娟</v>
      </c>
      <c r="C352" s="1" t="str">
        <f t="shared" si="41"/>
        <v>女</v>
      </c>
      <c r="D352" s="1" t="str">
        <f>"汉族"</f>
        <v>汉族</v>
      </c>
      <c r="E352" s="1" t="str">
        <f>"15062121328"</f>
        <v>15062121328</v>
      </c>
      <c r="F352" s="1">
        <v>13</v>
      </c>
      <c r="G352" s="1">
        <v>28</v>
      </c>
      <c r="H352" s="5">
        <v>65</v>
      </c>
      <c r="I352" s="1">
        <v>0</v>
      </c>
      <c r="J352" s="1">
        <f t="shared" si="39"/>
        <v>65</v>
      </c>
    </row>
    <row r="353" spans="1:10">
      <c r="A353" s="1" t="s">
        <v>22</v>
      </c>
      <c r="B353" s="1" t="str">
        <f>"刘文君"</f>
        <v>刘文君</v>
      </c>
      <c r="C353" s="1" t="str">
        <f t="shared" si="41"/>
        <v>女</v>
      </c>
      <c r="D353" s="1" t="str">
        <f>"汉族"</f>
        <v>汉族</v>
      </c>
      <c r="E353" s="1" t="str">
        <f>"15062121329"</f>
        <v>15062121329</v>
      </c>
      <c r="F353" s="1">
        <v>13</v>
      </c>
      <c r="G353" s="1">
        <v>29</v>
      </c>
      <c r="H353" s="5">
        <v>60.5</v>
      </c>
      <c r="I353" s="1">
        <v>0</v>
      </c>
      <c r="J353" s="1">
        <f t="shared" si="39"/>
        <v>60.5</v>
      </c>
    </row>
    <row r="354" spans="1:10">
      <c r="A354" s="1" t="s">
        <v>22</v>
      </c>
      <c r="B354" s="1" t="str">
        <f>"杨慧梅"</f>
        <v>杨慧梅</v>
      </c>
      <c r="C354" s="1" t="str">
        <f t="shared" si="41"/>
        <v>女</v>
      </c>
      <c r="D354" s="1" t="str">
        <f>"汉族"</f>
        <v>汉族</v>
      </c>
      <c r="E354" s="1" t="str">
        <f>"15062121330"</f>
        <v>15062121330</v>
      </c>
      <c r="F354" s="1">
        <v>13</v>
      </c>
      <c r="G354" s="1">
        <v>30</v>
      </c>
      <c r="H354" s="5">
        <v>50</v>
      </c>
      <c r="I354" s="1">
        <v>0</v>
      </c>
      <c r="J354" s="1">
        <f t="shared" si="39"/>
        <v>50</v>
      </c>
    </row>
    <row r="355" spans="1:10">
      <c r="A355" s="1" t="s">
        <v>22</v>
      </c>
      <c r="B355" s="1" t="str">
        <f>"白鑫"</f>
        <v>白鑫</v>
      </c>
      <c r="C355" s="1" t="str">
        <f>"男"</f>
        <v>男</v>
      </c>
      <c r="D355" s="1" t="str">
        <f>"蒙古族"</f>
        <v>蒙古族</v>
      </c>
      <c r="E355" s="1" t="str">
        <f>"15062121401"</f>
        <v>15062121401</v>
      </c>
      <c r="F355" s="1">
        <v>14</v>
      </c>
      <c r="G355" s="1">
        <v>1</v>
      </c>
      <c r="H355" s="5">
        <v>64</v>
      </c>
      <c r="I355" s="1">
        <v>2.5</v>
      </c>
      <c r="J355" s="1">
        <f t="shared" si="39"/>
        <v>66.5</v>
      </c>
    </row>
    <row r="356" spans="1:10">
      <c r="A356" s="1" t="s">
        <v>22</v>
      </c>
      <c r="B356" s="1" t="str">
        <f>"奥瑞"</f>
        <v>奥瑞</v>
      </c>
      <c r="C356" s="1" t="str">
        <f t="shared" ref="C356:C365" si="43">"女"</f>
        <v>女</v>
      </c>
      <c r="D356" s="1" t="str">
        <f>"汉族"</f>
        <v>汉族</v>
      </c>
      <c r="E356" s="1" t="str">
        <f>"15062121402"</f>
        <v>15062121402</v>
      </c>
      <c r="F356" s="1">
        <v>14</v>
      </c>
      <c r="G356" s="1">
        <v>2</v>
      </c>
      <c r="H356" s="5">
        <v>58.5</v>
      </c>
      <c r="I356" s="1">
        <v>0</v>
      </c>
      <c r="J356" s="1">
        <f t="shared" si="39"/>
        <v>58.5</v>
      </c>
    </row>
    <row r="357" spans="1:10">
      <c r="A357" s="1" t="s">
        <v>22</v>
      </c>
      <c r="B357" s="1" t="str">
        <f>"贺霄悦"</f>
        <v>贺霄悦</v>
      </c>
      <c r="C357" s="1" t="str">
        <f t="shared" si="43"/>
        <v>女</v>
      </c>
      <c r="D357" s="1" t="str">
        <f>"汉族"</f>
        <v>汉族</v>
      </c>
      <c r="E357" s="1" t="str">
        <f>"15062121403"</f>
        <v>15062121403</v>
      </c>
      <c r="F357" s="1">
        <v>14</v>
      </c>
      <c r="G357" s="1">
        <v>3</v>
      </c>
      <c r="H357" s="5">
        <v>0</v>
      </c>
      <c r="I357" s="1">
        <v>0</v>
      </c>
      <c r="J357" s="1">
        <f t="shared" si="39"/>
        <v>0</v>
      </c>
    </row>
    <row r="358" spans="1:10">
      <c r="A358" s="1" t="s">
        <v>22</v>
      </c>
      <c r="B358" s="1" t="str">
        <f>"杨茹"</f>
        <v>杨茹</v>
      </c>
      <c r="C358" s="1" t="str">
        <f t="shared" si="43"/>
        <v>女</v>
      </c>
      <c r="D358" s="1" t="str">
        <f>"汉族"</f>
        <v>汉族</v>
      </c>
      <c r="E358" s="1" t="str">
        <f>"15062121404"</f>
        <v>15062121404</v>
      </c>
      <c r="F358" s="1">
        <v>14</v>
      </c>
      <c r="G358" s="1">
        <v>4</v>
      </c>
      <c r="H358" s="5">
        <v>0</v>
      </c>
      <c r="I358" s="1">
        <v>0</v>
      </c>
      <c r="J358" s="1">
        <f t="shared" si="39"/>
        <v>0</v>
      </c>
    </row>
    <row r="359" spans="1:10">
      <c r="A359" s="1" t="s">
        <v>22</v>
      </c>
      <c r="B359" s="1" t="str">
        <f>"刘欣"</f>
        <v>刘欣</v>
      </c>
      <c r="C359" s="1" t="str">
        <f t="shared" si="43"/>
        <v>女</v>
      </c>
      <c r="D359" s="1" t="str">
        <f>"汉族"</f>
        <v>汉族</v>
      </c>
      <c r="E359" s="1" t="str">
        <f>"15062121405"</f>
        <v>15062121405</v>
      </c>
      <c r="F359" s="1">
        <v>14</v>
      </c>
      <c r="G359" s="1">
        <v>5</v>
      </c>
      <c r="H359" s="5">
        <v>54.5</v>
      </c>
      <c r="I359" s="1">
        <v>0</v>
      </c>
      <c r="J359" s="1">
        <f t="shared" si="39"/>
        <v>54.5</v>
      </c>
    </row>
    <row r="360" spans="1:10">
      <c r="A360" s="1" t="s">
        <v>22</v>
      </c>
      <c r="B360" s="1" t="str">
        <f>"张红丽"</f>
        <v>张红丽</v>
      </c>
      <c r="C360" s="1" t="str">
        <f t="shared" si="43"/>
        <v>女</v>
      </c>
      <c r="D360" s="1" t="str">
        <f>"蒙古族"</f>
        <v>蒙古族</v>
      </c>
      <c r="E360" s="1" t="str">
        <f>"15062121406"</f>
        <v>15062121406</v>
      </c>
      <c r="F360" s="1">
        <v>14</v>
      </c>
      <c r="G360" s="1">
        <v>6</v>
      </c>
      <c r="H360" s="5">
        <v>51</v>
      </c>
      <c r="I360" s="1">
        <v>2.5</v>
      </c>
      <c r="J360" s="1">
        <f t="shared" si="39"/>
        <v>53.5</v>
      </c>
    </row>
    <row r="361" spans="1:10">
      <c r="A361" s="1" t="s">
        <v>22</v>
      </c>
      <c r="B361" s="1" t="str">
        <f>"赵雨婷"</f>
        <v>赵雨婷</v>
      </c>
      <c r="C361" s="1" t="str">
        <f t="shared" si="43"/>
        <v>女</v>
      </c>
      <c r="D361" s="1" t="str">
        <f>"汉族"</f>
        <v>汉族</v>
      </c>
      <c r="E361" s="1" t="str">
        <f>"15062121407"</f>
        <v>15062121407</v>
      </c>
      <c r="F361" s="1">
        <v>14</v>
      </c>
      <c r="G361" s="1">
        <v>7</v>
      </c>
      <c r="H361" s="5">
        <v>72.5</v>
      </c>
      <c r="I361" s="1">
        <v>0</v>
      </c>
      <c r="J361" s="1">
        <f t="shared" si="39"/>
        <v>72.5</v>
      </c>
    </row>
    <row r="362" spans="1:10">
      <c r="A362" s="1" t="s">
        <v>22</v>
      </c>
      <c r="B362" s="1" t="str">
        <f>"杨延慧"</f>
        <v>杨延慧</v>
      </c>
      <c r="C362" s="1" t="str">
        <f t="shared" si="43"/>
        <v>女</v>
      </c>
      <c r="D362" s="1" t="str">
        <f>"蒙古族"</f>
        <v>蒙古族</v>
      </c>
      <c r="E362" s="1" t="str">
        <f>"15062121408"</f>
        <v>15062121408</v>
      </c>
      <c r="F362" s="1">
        <v>14</v>
      </c>
      <c r="G362" s="1">
        <v>8</v>
      </c>
      <c r="H362" s="5">
        <v>61.5</v>
      </c>
      <c r="I362" s="1">
        <v>2.5</v>
      </c>
      <c r="J362" s="1">
        <f t="shared" si="39"/>
        <v>64</v>
      </c>
    </row>
    <row r="363" spans="1:10">
      <c r="A363" s="1" t="s">
        <v>22</v>
      </c>
      <c r="B363" s="1" t="str">
        <f>"赵荣"</f>
        <v>赵荣</v>
      </c>
      <c r="C363" s="1" t="str">
        <f t="shared" si="43"/>
        <v>女</v>
      </c>
      <c r="D363" s="1" t="str">
        <f>"汉族"</f>
        <v>汉族</v>
      </c>
      <c r="E363" s="1" t="str">
        <f>"15062121409"</f>
        <v>15062121409</v>
      </c>
      <c r="F363" s="1">
        <v>14</v>
      </c>
      <c r="G363" s="1">
        <v>9</v>
      </c>
      <c r="H363" s="5">
        <v>64</v>
      </c>
      <c r="I363" s="1">
        <v>0</v>
      </c>
      <c r="J363" s="1">
        <f t="shared" si="39"/>
        <v>64</v>
      </c>
    </row>
    <row r="364" spans="1:10">
      <c r="A364" s="1" t="s">
        <v>22</v>
      </c>
      <c r="B364" s="1" t="str">
        <f>"刘蓉"</f>
        <v>刘蓉</v>
      </c>
      <c r="C364" s="1" t="str">
        <f t="shared" si="43"/>
        <v>女</v>
      </c>
      <c r="D364" s="1" t="str">
        <f>"汉族"</f>
        <v>汉族</v>
      </c>
      <c r="E364" s="1" t="str">
        <f>"15062121410"</f>
        <v>15062121410</v>
      </c>
      <c r="F364" s="1">
        <v>14</v>
      </c>
      <c r="G364" s="1">
        <v>10</v>
      </c>
      <c r="H364" s="5">
        <v>0</v>
      </c>
      <c r="I364" s="1">
        <v>0</v>
      </c>
      <c r="J364" s="1">
        <f t="shared" si="39"/>
        <v>0</v>
      </c>
    </row>
    <row r="365" spans="1:10">
      <c r="A365" s="1" t="s">
        <v>23</v>
      </c>
      <c r="B365" s="1" t="str">
        <f>"萨仁格日乐"</f>
        <v>萨仁格日乐</v>
      </c>
      <c r="C365" s="1" t="str">
        <f t="shared" si="43"/>
        <v>女</v>
      </c>
      <c r="D365" s="1" t="str">
        <f t="shared" ref="D365:D372" si="44">"蒙古族"</f>
        <v>蒙古族</v>
      </c>
      <c r="E365" s="1" t="str">
        <f>"15062131501"</f>
        <v>15062131501</v>
      </c>
      <c r="F365" s="1">
        <v>15</v>
      </c>
      <c r="G365" s="1">
        <v>1</v>
      </c>
      <c r="H365" s="5">
        <v>37.5</v>
      </c>
      <c r="I365" s="1">
        <v>2.5</v>
      </c>
      <c r="J365" s="1">
        <f t="shared" si="39"/>
        <v>40</v>
      </c>
    </row>
    <row r="366" spans="1:10">
      <c r="A366" s="1" t="s">
        <v>23</v>
      </c>
      <c r="B366" s="1" t="str">
        <f>"额登巴特尔"</f>
        <v>额登巴特尔</v>
      </c>
      <c r="C366" s="1" t="str">
        <f>"男"</f>
        <v>男</v>
      </c>
      <c r="D366" s="1" t="str">
        <f t="shared" si="44"/>
        <v>蒙古族</v>
      </c>
      <c r="E366" s="1" t="str">
        <f>"15062131502"</f>
        <v>15062131502</v>
      </c>
      <c r="F366" s="1">
        <v>15</v>
      </c>
      <c r="G366" s="1">
        <v>2</v>
      </c>
      <c r="H366" s="5">
        <v>34</v>
      </c>
      <c r="I366" s="1">
        <v>2.5</v>
      </c>
      <c r="J366" s="1">
        <f t="shared" si="39"/>
        <v>36.5</v>
      </c>
    </row>
    <row r="367" spans="1:10">
      <c r="A367" s="1" t="s">
        <v>23</v>
      </c>
      <c r="B367" s="1" t="str">
        <f>"呼和格"</f>
        <v>呼和格</v>
      </c>
      <c r="C367" s="1" t="str">
        <f>"女"</f>
        <v>女</v>
      </c>
      <c r="D367" s="1" t="str">
        <f t="shared" si="44"/>
        <v>蒙古族</v>
      </c>
      <c r="E367" s="1" t="str">
        <f>"15062131503"</f>
        <v>15062131503</v>
      </c>
      <c r="F367" s="1">
        <v>15</v>
      </c>
      <c r="G367" s="1">
        <v>3</v>
      </c>
      <c r="H367" s="5">
        <v>30.5</v>
      </c>
      <c r="I367" s="1">
        <v>2.5</v>
      </c>
      <c r="J367" s="1">
        <f t="shared" si="39"/>
        <v>33</v>
      </c>
    </row>
    <row r="368" spans="1:10">
      <c r="A368" s="1" t="s">
        <v>23</v>
      </c>
      <c r="B368" s="1" t="str">
        <f>"米得克"</f>
        <v>米得克</v>
      </c>
      <c r="C368" s="1" t="str">
        <f>"女"</f>
        <v>女</v>
      </c>
      <c r="D368" s="1" t="str">
        <f t="shared" si="44"/>
        <v>蒙古族</v>
      </c>
      <c r="E368" s="1" t="str">
        <f>"15062131504"</f>
        <v>15062131504</v>
      </c>
      <c r="F368" s="1">
        <v>15</v>
      </c>
      <c r="G368" s="1">
        <v>4</v>
      </c>
      <c r="H368" s="5">
        <v>36</v>
      </c>
      <c r="I368" s="1">
        <v>2.5</v>
      </c>
      <c r="J368" s="1">
        <f t="shared" si="39"/>
        <v>38.5</v>
      </c>
    </row>
    <row r="369" spans="1:10">
      <c r="A369" s="1" t="s">
        <v>23</v>
      </c>
      <c r="B369" s="1" t="str">
        <f>"特日格乐"</f>
        <v>特日格乐</v>
      </c>
      <c r="C369" s="1" t="str">
        <f>"女"</f>
        <v>女</v>
      </c>
      <c r="D369" s="1" t="str">
        <f t="shared" si="44"/>
        <v>蒙古族</v>
      </c>
      <c r="E369" s="1" t="str">
        <f>"15062131505"</f>
        <v>15062131505</v>
      </c>
      <c r="F369" s="1">
        <v>15</v>
      </c>
      <c r="G369" s="1">
        <v>5</v>
      </c>
      <c r="H369" s="5">
        <v>39.5</v>
      </c>
      <c r="I369" s="1">
        <v>2.5</v>
      </c>
      <c r="J369" s="1">
        <f t="shared" si="39"/>
        <v>42</v>
      </c>
    </row>
    <row r="370" spans="1:10">
      <c r="A370" s="1" t="s">
        <v>23</v>
      </c>
      <c r="B370" s="1" t="str">
        <f>"乌雅罕"</f>
        <v>乌雅罕</v>
      </c>
      <c r="C370" s="1" t="str">
        <f>"女"</f>
        <v>女</v>
      </c>
      <c r="D370" s="1" t="str">
        <f t="shared" si="44"/>
        <v>蒙古族</v>
      </c>
      <c r="E370" s="1" t="str">
        <f>"15062131506"</f>
        <v>15062131506</v>
      </c>
      <c r="F370" s="1">
        <v>15</v>
      </c>
      <c r="G370" s="1">
        <v>6</v>
      </c>
      <c r="H370" s="5">
        <v>36</v>
      </c>
      <c r="I370" s="1">
        <v>2.5</v>
      </c>
      <c r="J370" s="1">
        <f t="shared" si="39"/>
        <v>38.5</v>
      </c>
    </row>
    <row r="371" spans="1:10">
      <c r="A371" s="1" t="s">
        <v>23</v>
      </c>
      <c r="B371" s="1" t="str">
        <f>"乌力吉德力格尔"</f>
        <v>乌力吉德力格尔</v>
      </c>
      <c r="C371" s="1" t="str">
        <f>"男"</f>
        <v>男</v>
      </c>
      <c r="D371" s="1" t="str">
        <f t="shared" si="44"/>
        <v>蒙古族</v>
      </c>
      <c r="E371" s="1" t="str">
        <f>"15062131507"</f>
        <v>15062131507</v>
      </c>
      <c r="F371" s="1">
        <v>15</v>
      </c>
      <c r="G371" s="1">
        <v>7</v>
      </c>
      <c r="H371" s="5">
        <v>20</v>
      </c>
      <c r="I371" s="1">
        <v>2.5</v>
      </c>
      <c r="J371" s="1">
        <f t="shared" si="39"/>
        <v>22.5</v>
      </c>
    </row>
    <row r="372" spans="1:10">
      <c r="A372" s="1" t="s">
        <v>23</v>
      </c>
      <c r="B372" s="1" t="str">
        <f>"乌东其其格"</f>
        <v>乌东其其格</v>
      </c>
      <c r="C372" s="1" t="str">
        <f>"女"</f>
        <v>女</v>
      </c>
      <c r="D372" s="1" t="str">
        <f t="shared" si="44"/>
        <v>蒙古族</v>
      </c>
      <c r="E372" s="1" t="str">
        <f>"15062131508"</f>
        <v>15062131508</v>
      </c>
      <c r="F372" s="1">
        <v>15</v>
      </c>
      <c r="G372" s="1">
        <v>8</v>
      </c>
      <c r="H372" s="5">
        <v>49</v>
      </c>
      <c r="I372" s="1">
        <v>2.5</v>
      </c>
      <c r="J372" s="1">
        <f t="shared" si="39"/>
        <v>51.5</v>
      </c>
    </row>
    <row r="373" spans="1:10">
      <c r="A373" s="1" t="s">
        <v>23</v>
      </c>
      <c r="B373" s="1" t="str">
        <f>"希尼图"</f>
        <v>希尼图</v>
      </c>
      <c r="C373" s="1" t="str">
        <f>"男"</f>
        <v>男</v>
      </c>
      <c r="D373" s="1" t="str">
        <f>"汉族"</f>
        <v>汉族</v>
      </c>
      <c r="E373" s="1" t="str">
        <f>"15062131509"</f>
        <v>15062131509</v>
      </c>
      <c r="F373" s="1">
        <v>15</v>
      </c>
      <c r="G373" s="1">
        <v>9</v>
      </c>
      <c r="H373" s="5">
        <v>0</v>
      </c>
      <c r="I373" s="1">
        <v>0</v>
      </c>
      <c r="J373" s="1">
        <f t="shared" si="39"/>
        <v>0</v>
      </c>
    </row>
    <row r="374" spans="1:10">
      <c r="A374" s="1" t="s">
        <v>23</v>
      </c>
      <c r="B374" s="1" t="str">
        <f>"辛小梅"</f>
        <v>辛小梅</v>
      </c>
      <c r="C374" s="1" t="str">
        <f t="shared" ref="C374:C387" si="45">"女"</f>
        <v>女</v>
      </c>
      <c r="D374" s="1" t="str">
        <f t="shared" ref="D374:D386" si="46">"蒙古族"</f>
        <v>蒙古族</v>
      </c>
      <c r="E374" s="1" t="str">
        <f>"15062131510"</f>
        <v>15062131510</v>
      </c>
      <c r="F374" s="1">
        <v>15</v>
      </c>
      <c r="G374" s="1">
        <v>10</v>
      </c>
      <c r="H374" s="5">
        <v>39.5</v>
      </c>
      <c r="I374" s="1">
        <v>2.5</v>
      </c>
      <c r="J374" s="1">
        <f t="shared" si="39"/>
        <v>42</v>
      </c>
    </row>
    <row r="375" spans="1:10">
      <c r="A375" s="1" t="s">
        <v>23</v>
      </c>
      <c r="B375" s="1" t="str">
        <f>"格日勒其木格"</f>
        <v>格日勒其木格</v>
      </c>
      <c r="C375" s="1" t="str">
        <f t="shared" si="45"/>
        <v>女</v>
      </c>
      <c r="D375" s="1" t="str">
        <f t="shared" si="46"/>
        <v>蒙古族</v>
      </c>
      <c r="E375" s="1" t="str">
        <f>"15062131511"</f>
        <v>15062131511</v>
      </c>
      <c r="F375" s="1">
        <v>15</v>
      </c>
      <c r="G375" s="1">
        <v>11</v>
      </c>
      <c r="H375" s="5">
        <v>0</v>
      </c>
      <c r="I375" s="1">
        <v>0</v>
      </c>
      <c r="J375" s="1">
        <f t="shared" si="39"/>
        <v>0</v>
      </c>
    </row>
    <row r="376" spans="1:10">
      <c r="A376" s="1" t="s">
        <v>23</v>
      </c>
      <c r="B376" s="1" t="str">
        <f>"依日贵"</f>
        <v>依日贵</v>
      </c>
      <c r="C376" s="1" t="str">
        <f t="shared" si="45"/>
        <v>女</v>
      </c>
      <c r="D376" s="1" t="str">
        <f t="shared" si="46"/>
        <v>蒙古族</v>
      </c>
      <c r="E376" s="1" t="str">
        <f>"15062131512"</f>
        <v>15062131512</v>
      </c>
      <c r="F376" s="1">
        <v>15</v>
      </c>
      <c r="G376" s="1">
        <v>12</v>
      </c>
      <c r="H376" s="5">
        <v>44.5</v>
      </c>
      <c r="I376" s="1">
        <v>2.5</v>
      </c>
      <c r="J376" s="1">
        <f t="shared" si="39"/>
        <v>47</v>
      </c>
    </row>
    <row r="377" spans="1:10">
      <c r="A377" s="1" t="s">
        <v>23</v>
      </c>
      <c r="B377" s="1" t="str">
        <f>"乌云塔娜"</f>
        <v>乌云塔娜</v>
      </c>
      <c r="C377" s="1" t="str">
        <f t="shared" si="45"/>
        <v>女</v>
      </c>
      <c r="D377" s="1" t="str">
        <f t="shared" si="46"/>
        <v>蒙古族</v>
      </c>
      <c r="E377" s="1" t="str">
        <f>"15062131513"</f>
        <v>15062131513</v>
      </c>
      <c r="F377" s="1">
        <v>15</v>
      </c>
      <c r="G377" s="1">
        <v>13</v>
      </c>
      <c r="H377" s="5">
        <v>35</v>
      </c>
      <c r="I377" s="1">
        <v>2.5</v>
      </c>
      <c r="J377" s="1">
        <f t="shared" si="39"/>
        <v>37.5</v>
      </c>
    </row>
    <row r="378" spans="1:10">
      <c r="A378" s="1" t="s">
        <v>23</v>
      </c>
      <c r="B378" s="1" t="str">
        <f>"吉嘎苏"</f>
        <v>吉嘎苏</v>
      </c>
      <c r="C378" s="1" t="str">
        <f t="shared" si="45"/>
        <v>女</v>
      </c>
      <c r="D378" s="1" t="str">
        <f t="shared" si="46"/>
        <v>蒙古族</v>
      </c>
      <c r="E378" s="1" t="str">
        <f>"15062131514"</f>
        <v>15062131514</v>
      </c>
      <c r="F378" s="1">
        <v>15</v>
      </c>
      <c r="G378" s="1">
        <v>14</v>
      </c>
      <c r="H378" s="5">
        <v>50</v>
      </c>
      <c r="I378" s="1">
        <v>2.5</v>
      </c>
      <c r="J378" s="1">
        <f t="shared" si="39"/>
        <v>52.5</v>
      </c>
    </row>
    <row r="379" spans="1:10">
      <c r="A379" s="1" t="s">
        <v>23</v>
      </c>
      <c r="B379" s="1" t="str">
        <f>"希尼特格乐"</f>
        <v>希尼特格乐</v>
      </c>
      <c r="C379" s="1" t="str">
        <f t="shared" si="45"/>
        <v>女</v>
      </c>
      <c r="D379" s="1" t="str">
        <f t="shared" si="46"/>
        <v>蒙古族</v>
      </c>
      <c r="E379" s="1" t="str">
        <f>"15062131601"</f>
        <v>15062131601</v>
      </c>
      <c r="F379" s="1">
        <v>16</v>
      </c>
      <c r="G379" s="1">
        <v>1</v>
      </c>
      <c r="H379" s="5">
        <v>41.5</v>
      </c>
      <c r="I379" s="1">
        <v>2.5</v>
      </c>
      <c r="J379" s="1">
        <f t="shared" si="39"/>
        <v>44</v>
      </c>
    </row>
    <row r="380" spans="1:10">
      <c r="A380" s="1" t="s">
        <v>23</v>
      </c>
      <c r="B380" s="1" t="str">
        <f>"娜仁图雅"</f>
        <v>娜仁图雅</v>
      </c>
      <c r="C380" s="1" t="str">
        <f t="shared" si="45"/>
        <v>女</v>
      </c>
      <c r="D380" s="1" t="str">
        <f t="shared" si="46"/>
        <v>蒙古族</v>
      </c>
      <c r="E380" s="1" t="str">
        <f>"15062131602"</f>
        <v>15062131602</v>
      </c>
      <c r="F380" s="1">
        <v>16</v>
      </c>
      <c r="G380" s="1">
        <v>2</v>
      </c>
      <c r="H380" s="5">
        <v>0</v>
      </c>
      <c r="I380" s="1">
        <v>0</v>
      </c>
      <c r="J380" s="1">
        <f t="shared" si="39"/>
        <v>0</v>
      </c>
    </row>
    <row r="381" spans="1:10">
      <c r="A381" s="1" t="s">
        <v>23</v>
      </c>
      <c r="B381" s="1" t="str">
        <f>"多兰"</f>
        <v>多兰</v>
      </c>
      <c r="C381" s="1" t="str">
        <f t="shared" si="45"/>
        <v>女</v>
      </c>
      <c r="D381" s="1" t="str">
        <f t="shared" si="46"/>
        <v>蒙古族</v>
      </c>
      <c r="E381" s="1" t="str">
        <f>"15062131603"</f>
        <v>15062131603</v>
      </c>
      <c r="F381" s="1">
        <v>16</v>
      </c>
      <c r="G381" s="1">
        <v>3</v>
      </c>
      <c r="H381" s="5">
        <v>59.5</v>
      </c>
      <c r="I381" s="1">
        <v>2.5</v>
      </c>
      <c r="J381" s="1">
        <f t="shared" si="39"/>
        <v>62</v>
      </c>
    </row>
    <row r="382" spans="1:10">
      <c r="A382" s="1" t="s">
        <v>23</v>
      </c>
      <c r="B382" s="1" t="str">
        <f>"乌东高娃"</f>
        <v>乌东高娃</v>
      </c>
      <c r="C382" s="1" t="str">
        <f t="shared" si="45"/>
        <v>女</v>
      </c>
      <c r="D382" s="1" t="str">
        <f t="shared" si="46"/>
        <v>蒙古族</v>
      </c>
      <c r="E382" s="1" t="str">
        <f>"15062131604"</f>
        <v>15062131604</v>
      </c>
      <c r="F382" s="1">
        <v>16</v>
      </c>
      <c r="G382" s="1">
        <v>4</v>
      </c>
      <c r="H382" s="5">
        <v>25</v>
      </c>
      <c r="I382" s="1">
        <v>2.5</v>
      </c>
      <c r="J382" s="1">
        <f t="shared" si="39"/>
        <v>27.5</v>
      </c>
    </row>
    <row r="383" spans="1:10">
      <c r="A383" s="1" t="s">
        <v>23</v>
      </c>
      <c r="B383" s="1" t="str">
        <f>"斯庆如拉玛"</f>
        <v>斯庆如拉玛</v>
      </c>
      <c r="C383" s="1" t="str">
        <f t="shared" si="45"/>
        <v>女</v>
      </c>
      <c r="D383" s="1" t="str">
        <f t="shared" si="46"/>
        <v>蒙古族</v>
      </c>
      <c r="E383" s="1" t="str">
        <f>"15062131605"</f>
        <v>15062131605</v>
      </c>
      <c r="F383" s="1">
        <v>16</v>
      </c>
      <c r="G383" s="1">
        <v>5</v>
      </c>
      <c r="H383" s="5">
        <v>42.5</v>
      </c>
      <c r="I383" s="1">
        <v>2.5</v>
      </c>
      <c r="J383" s="1">
        <f t="shared" si="39"/>
        <v>45</v>
      </c>
    </row>
    <row r="384" spans="1:10">
      <c r="A384" s="1" t="s">
        <v>23</v>
      </c>
      <c r="B384" s="1" t="str">
        <f>"杭盖"</f>
        <v>杭盖</v>
      </c>
      <c r="C384" s="1" t="str">
        <f t="shared" si="45"/>
        <v>女</v>
      </c>
      <c r="D384" s="1" t="str">
        <f t="shared" si="46"/>
        <v>蒙古族</v>
      </c>
      <c r="E384" s="1" t="str">
        <f>"15062131606"</f>
        <v>15062131606</v>
      </c>
      <c r="F384" s="1">
        <v>16</v>
      </c>
      <c r="G384" s="1">
        <v>6</v>
      </c>
      <c r="H384" s="5">
        <v>0</v>
      </c>
      <c r="I384" s="1">
        <v>0</v>
      </c>
      <c r="J384" s="1">
        <f t="shared" si="39"/>
        <v>0</v>
      </c>
    </row>
    <row r="385" spans="1:10">
      <c r="A385" s="1" t="s">
        <v>24</v>
      </c>
      <c r="B385" s="1" t="str">
        <f>"常梅花"</f>
        <v>常梅花</v>
      </c>
      <c r="C385" s="1" t="str">
        <f t="shared" si="45"/>
        <v>女</v>
      </c>
      <c r="D385" s="1" t="str">
        <f t="shared" si="46"/>
        <v>蒙古族</v>
      </c>
      <c r="E385" s="1" t="str">
        <f>"15062141607"</f>
        <v>15062141607</v>
      </c>
      <c r="F385" s="1">
        <v>16</v>
      </c>
      <c r="G385" s="1">
        <v>7</v>
      </c>
      <c r="H385" s="5">
        <v>40.5</v>
      </c>
      <c r="I385" s="1">
        <v>2.5</v>
      </c>
      <c r="J385" s="1">
        <f>I385+H385</f>
        <v>43</v>
      </c>
    </row>
    <row r="386" spans="1:10">
      <c r="A386" s="1" t="s">
        <v>24</v>
      </c>
      <c r="B386" s="1" t="str">
        <f>"佟图雅"</f>
        <v>佟图雅</v>
      </c>
      <c r="C386" s="1" t="str">
        <f t="shared" si="45"/>
        <v>女</v>
      </c>
      <c r="D386" s="1" t="str">
        <f t="shared" si="46"/>
        <v>蒙古族</v>
      </c>
      <c r="E386" s="1" t="str">
        <f>"15062141608"</f>
        <v>15062141608</v>
      </c>
      <c r="F386" s="1">
        <v>16</v>
      </c>
      <c r="G386" s="1">
        <v>8</v>
      </c>
      <c r="H386" s="5">
        <v>0</v>
      </c>
      <c r="I386" s="1">
        <v>0</v>
      </c>
      <c r="J386" s="1">
        <f>H386+I386</f>
        <v>0</v>
      </c>
    </row>
    <row r="387" spans="1:10">
      <c r="A387" s="1" t="s">
        <v>24</v>
      </c>
      <c r="B387" s="1" t="str">
        <f>"张燕"</f>
        <v>张燕</v>
      </c>
      <c r="C387" s="1" t="str">
        <f t="shared" si="45"/>
        <v>女</v>
      </c>
      <c r="D387" s="1" t="str">
        <f>"汉族"</f>
        <v>汉族</v>
      </c>
      <c r="E387" s="1" t="str">
        <f>"15062141609"</f>
        <v>15062141609</v>
      </c>
      <c r="F387" s="1">
        <v>16</v>
      </c>
      <c r="G387" s="1">
        <v>9</v>
      </c>
      <c r="H387" s="5">
        <v>0</v>
      </c>
      <c r="I387" s="1">
        <v>0</v>
      </c>
      <c r="J387" s="1">
        <f>H387+I387</f>
        <v>0</v>
      </c>
    </row>
    <row r="388" spans="1:10">
      <c r="A388" s="1" t="s">
        <v>24</v>
      </c>
      <c r="B388" s="1" t="str">
        <f>"白志远"</f>
        <v>白志远</v>
      </c>
      <c r="C388" s="1" t="str">
        <f>"男"</f>
        <v>男</v>
      </c>
      <c r="D388" s="1" t="str">
        <f>"蒙古族"</f>
        <v>蒙古族</v>
      </c>
      <c r="E388" s="1" t="str">
        <f>"15062141610"</f>
        <v>15062141610</v>
      </c>
      <c r="F388" s="1">
        <v>16</v>
      </c>
      <c r="G388" s="1">
        <v>10</v>
      </c>
      <c r="H388" s="5">
        <v>0</v>
      </c>
      <c r="I388" s="1">
        <v>0</v>
      </c>
      <c r="J388" s="1">
        <f>H388+I388</f>
        <v>0</v>
      </c>
    </row>
    <row r="389" spans="1:10">
      <c r="A389" s="1" t="s">
        <v>24</v>
      </c>
      <c r="B389" s="1" t="str">
        <f>"塔娜"</f>
        <v>塔娜</v>
      </c>
      <c r="C389" s="1" t="str">
        <f>"女"</f>
        <v>女</v>
      </c>
      <c r="D389" s="1" t="str">
        <f>"蒙古族"</f>
        <v>蒙古族</v>
      </c>
      <c r="E389" s="1" t="str">
        <f>"15062141611"</f>
        <v>15062141611</v>
      </c>
      <c r="F389" s="1">
        <v>16</v>
      </c>
      <c r="G389" s="1">
        <v>11</v>
      </c>
      <c r="H389" s="5">
        <v>34.5</v>
      </c>
      <c r="I389" s="1">
        <v>2.5</v>
      </c>
      <c r="J389" s="1">
        <f>I389+H389</f>
        <v>37</v>
      </c>
    </row>
    <row r="390" spans="1:10">
      <c r="A390" s="1" t="s">
        <v>24</v>
      </c>
      <c r="B390" s="1" t="str">
        <f>"白秀花"</f>
        <v>白秀花</v>
      </c>
      <c r="C390" s="1" t="str">
        <f>"女"</f>
        <v>女</v>
      </c>
      <c r="D390" s="1" t="str">
        <f>"蒙古族"</f>
        <v>蒙古族</v>
      </c>
      <c r="E390" s="1" t="str">
        <f>"15062141612"</f>
        <v>15062141612</v>
      </c>
      <c r="F390" s="1">
        <v>16</v>
      </c>
      <c r="G390" s="1">
        <v>12</v>
      </c>
      <c r="H390" s="5">
        <v>65</v>
      </c>
      <c r="I390" s="1">
        <v>2.5</v>
      </c>
      <c r="J390" s="1">
        <f>I390+H390</f>
        <v>67.5</v>
      </c>
    </row>
    <row r="391" spans="1:10">
      <c r="A391" s="1" t="s">
        <v>24</v>
      </c>
      <c r="B391" s="1" t="str">
        <f>"翠玉"</f>
        <v>翠玉</v>
      </c>
      <c r="C391" s="1" t="str">
        <f>"女"</f>
        <v>女</v>
      </c>
      <c r="D391" s="1" t="str">
        <f>"汉族"</f>
        <v>汉族</v>
      </c>
      <c r="E391" s="1" t="str">
        <f>"15062141613"</f>
        <v>15062141613</v>
      </c>
      <c r="F391" s="1">
        <v>16</v>
      </c>
      <c r="G391" s="1">
        <v>13</v>
      </c>
      <c r="H391" s="5">
        <v>29</v>
      </c>
      <c r="I391" s="1">
        <v>2.5</v>
      </c>
      <c r="J391" s="1">
        <f>I391+H391</f>
        <v>31.5</v>
      </c>
    </row>
    <row r="392" spans="1:10">
      <c r="A392" s="1" t="s">
        <v>24</v>
      </c>
      <c r="B392" s="1" t="str">
        <f>"于小英"</f>
        <v>于小英</v>
      </c>
      <c r="C392" s="1" t="str">
        <f>"女"</f>
        <v>女</v>
      </c>
      <c r="D392" s="1" t="str">
        <f t="shared" ref="D392:D397" si="47">"蒙古族"</f>
        <v>蒙古族</v>
      </c>
      <c r="E392" s="1" t="str">
        <f>"15062141614"</f>
        <v>15062141614</v>
      </c>
      <c r="F392" s="1">
        <v>16</v>
      </c>
      <c r="G392" s="1">
        <v>14</v>
      </c>
      <c r="H392" s="5">
        <v>40.5</v>
      </c>
      <c r="I392" s="1">
        <v>2.5</v>
      </c>
      <c r="J392" s="1">
        <f>I392+H392</f>
        <v>43</v>
      </c>
    </row>
    <row r="393" spans="1:10">
      <c r="A393" s="1" t="s">
        <v>24</v>
      </c>
      <c r="B393" s="1" t="str">
        <f>"小岩"</f>
        <v>小岩</v>
      </c>
      <c r="C393" s="1" t="str">
        <f>"女"</f>
        <v>女</v>
      </c>
      <c r="D393" s="1" t="str">
        <f t="shared" si="47"/>
        <v>蒙古族</v>
      </c>
      <c r="E393" s="1" t="str">
        <f>"15062141615"</f>
        <v>15062141615</v>
      </c>
      <c r="F393" s="1">
        <v>16</v>
      </c>
      <c r="G393" s="1">
        <v>15</v>
      </c>
      <c r="H393" s="5">
        <v>0</v>
      </c>
      <c r="I393" s="1">
        <v>0</v>
      </c>
      <c r="J393" s="1">
        <f>H393+I393</f>
        <v>0</v>
      </c>
    </row>
    <row r="394" spans="1:10">
      <c r="A394" s="1" t="s">
        <v>24</v>
      </c>
      <c r="B394" s="1" t="str">
        <f>"白海林"</f>
        <v>白海林</v>
      </c>
      <c r="C394" s="1" t="str">
        <f>"男"</f>
        <v>男</v>
      </c>
      <c r="D394" s="1" t="str">
        <f t="shared" si="47"/>
        <v>蒙古族</v>
      </c>
      <c r="E394" s="1" t="str">
        <f>"15062141616"</f>
        <v>15062141616</v>
      </c>
      <c r="F394" s="1">
        <v>16</v>
      </c>
      <c r="G394" s="1">
        <v>16</v>
      </c>
      <c r="H394" s="5">
        <v>45.5</v>
      </c>
      <c r="I394" s="1">
        <v>2.5</v>
      </c>
      <c r="J394" s="1">
        <f>I394+H394</f>
        <v>48</v>
      </c>
    </row>
    <row r="395" spans="1:10">
      <c r="A395" s="1" t="s">
        <v>24</v>
      </c>
      <c r="B395" s="1" t="str">
        <f>"包阿荣"</f>
        <v>包阿荣</v>
      </c>
      <c r="C395" s="1" t="str">
        <f>"女"</f>
        <v>女</v>
      </c>
      <c r="D395" s="1" t="str">
        <f t="shared" si="47"/>
        <v>蒙古族</v>
      </c>
      <c r="E395" s="1" t="str">
        <f>"15062141617"</f>
        <v>15062141617</v>
      </c>
      <c r="F395" s="1">
        <v>16</v>
      </c>
      <c r="G395" s="1">
        <v>17</v>
      </c>
      <c r="H395" s="5">
        <v>40.5</v>
      </c>
      <c r="I395" s="1">
        <v>2.5</v>
      </c>
      <c r="J395" s="1">
        <f>I395+H395</f>
        <v>43</v>
      </c>
    </row>
    <row r="396" spans="1:10">
      <c r="A396" s="1" t="s">
        <v>24</v>
      </c>
      <c r="B396" s="1" t="str">
        <f>"王海君"</f>
        <v>王海君</v>
      </c>
      <c r="C396" s="1" t="str">
        <f>"男"</f>
        <v>男</v>
      </c>
      <c r="D396" s="1" t="str">
        <f t="shared" si="47"/>
        <v>蒙古族</v>
      </c>
      <c r="E396" s="1" t="str">
        <f>"15062141618"</f>
        <v>15062141618</v>
      </c>
      <c r="F396" s="1">
        <v>16</v>
      </c>
      <c r="G396" s="1">
        <v>18</v>
      </c>
      <c r="H396" s="5">
        <v>50</v>
      </c>
      <c r="I396" s="1">
        <v>2.5</v>
      </c>
      <c r="J396" s="1">
        <f>I396+H396</f>
        <v>52.5</v>
      </c>
    </row>
    <row r="397" spans="1:10">
      <c r="A397" s="1" t="s">
        <v>24</v>
      </c>
      <c r="B397" s="1" t="str">
        <f>"萨其如玛"</f>
        <v>萨其如玛</v>
      </c>
      <c r="C397" s="1" t="str">
        <f>"女"</f>
        <v>女</v>
      </c>
      <c r="D397" s="1" t="str">
        <f t="shared" si="47"/>
        <v>蒙古族</v>
      </c>
      <c r="E397" s="1" t="str">
        <f>"15062141619"</f>
        <v>15062141619</v>
      </c>
      <c r="F397" s="1">
        <v>16</v>
      </c>
      <c r="G397" s="1">
        <v>19</v>
      </c>
      <c r="H397" s="5">
        <v>0</v>
      </c>
      <c r="I397" s="1">
        <v>0</v>
      </c>
      <c r="J397" s="1">
        <f>H397+I397</f>
        <v>0</v>
      </c>
    </row>
    <row r="398" spans="1:10">
      <c r="A398" s="1" t="s">
        <v>24</v>
      </c>
      <c r="B398" s="1" t="str">
        <f>"周田"</f>
        <v>周田</v>
      </c>
      <c r="C398" s="1" t="str">
        <f>"女"</f>
        <v>女</v>
      </c>
      <c r="D398" s="1" t="str">
        <f>"汉族"</f>
        <v>汉族</v>
      </c>
      <c r="E398" s="1" t="str">
        <f>"15062141620"</f>
        <v>15062141620</v>
      </c>
      <c r="F398" s="1">
        <v>16</v>
      </c>
      <c r="G398" s="1">
        <v>20</v>
      </c>
      <c r="H398" s="5">
        <v>0</v>
      </c>
      <c r="I398" s="1">
        <v>0</v>
      </c>
      <c r="J398" s="1">
        <f>H398+I398</f>
        <v>0</v>
      </c>
    </row>
    <row r="399" spans="1:10">
      <c r="A399" s="1" t="s">
        <v>24</v>
      </c>
      <c r="B399" s="1" t="str">
        <f>"布和朝鲁"</f>
        <v>布和朝鲁</v>
      </c>
      <c r="C399" s="1" t="str">
        <f>"男"</f>
        <v>男</v>
      </c>
      <c r="D399" s="1" t="str">
        <f>"蒙古族"</f>
        <v>蒙古族</v>
      </c>
      <c r="E399" s="1" t="str">
        <f>"15062141621"</f>
        <v>15062141621</v>
      </c>
      <c r="F399" s="1">
        <v>16</v>
      </c>
      <c r="G399" s="1">
        <v>21</v>
      </c>
      <c r="H399" s="5">
        <v>37</v>
      </c>
      <c r="I399" s="1">
        <v>2.5</v>
      </c>
      <c r="J399" s="1">
        <f>I399+H399</f>
        <v>39.5</v>
      </c>
    </row>
    <row r="400" spans="1:10">
      <c r="A400" s="1" t="s">
        <v>24</v>
      </c>
      <c r="B400" s="1" t="str">
        <f>"徐东璇"</f>
        <v>徐东璇</v>
      </c>
      <c r="C400" s="1" t="str">
        <f t="shared" ref="C400:C414" si="48">"女"</f>
        <v>女</v>
      </c>
      <c r="D400" s="1" t="str">
        <f>"汉族"</f>
        <v>汉族</v>
      </c>
      <c r="E400" s="1" t="str">
        <f>"15062141622"</f>
        <v>15062141622</v>
      </c>
      <c r="F400" s="1">
        <v>16</v>
      </c>
      <c r="G400" s="1">
        <v>22</v>
      </c>
      <c r="H400" s="5">
        <v>0</v>
      </c>
      <c r="I400" s="1">
        <v>0</v>
      </c>
      <c r="J400" s="1">
        <f>H400+I400</f>
        <v>0</v>
      </c>
    </row>
    <row r="401" spans="1:10">
      <c r="A401" s="1" t="s">
        <v>24</v>
      </c>
      <c r="B401" s="1" t="str">
        <f>"海日罕"</f>
        <v>海日罕</v>
      </c>
      <c r="C401" s="1" t="str">
        <f t="shared" si="48"/>
        <v>女</v>
      </c>
      <c r="D401" s="1" t="str">
        <f t="shared" ref="D401:D408" si="49">"蒙古族"</f>
        <v>蒙古族</v>
      </c>
      <c r="E401" s="1" t="str">
        <f>"15062141623"</f>
        <v>15062141623</v>
      </c>
      <c r="F401" s="1">
        <v>16</v>
      </c>
      <c r="G401" s="1">
        <v>23</v>
      </c>
      <c r="H401" s="5">
        <v>44.5</v>
      </c>
      <c r="I401" s="1">
        <v>2.5</v>
      </c>
      <c r="J401" s="1">
        <f>I401+H401</f>
        <v>47</v>
      </c>
    </row>
    <row r="402" spans="1:10">
      <c r="A402" s="1" t="s">
        <v>24</v>
      </c>
      <c r="B402" s="1" t="str">
        <f>"张兰"</f>
        <v>张兰</v>
      </c>
      <c r="C402" s="1" t="str">
        <f t="shared" si="48"/>
        <v>女</v>
      </c>
      <c r="D402" s="1" t="str">
        <f t="shared" si="49"/>
        <v>蒙古族</v>
      </c>
      <c r="E402" s="1" t="str">
        <f>"15062141624"</f>
        <v>15062141624</v>
      </c>
      <c r="F402" s="1">
        <v>16</v>
      </c>
      <c r="G402" s="1">
        <v>24</v>
      </c>
      <c r="H402" s="5">
        <v>28.5</v>
      </c>
      <c r="I402" s="1">
        <v>2.5</v>
      </c>
      <c r="J402" s="1">
        <f>I402+H402</f>
        <v>31</v>
      </c>
    </row>
    <row r="403" spans="1:10">
      <c r="A403" s="1" t="s">
        <v>24</v>
      </c>
      <c r="B403" s="1" t="str">
        <f>"照拉"</f>
        <v>照拉</v>
      </c>
      <c r="C403" s="1" t="str">
        <f t="shared" si="48"/>
        <v>女</v>
      </c>
      <c r="D403" s="1" t="str">
        <f t="shared" si="49"/>
        <v>蒙古族</v>
      </c>
      <c r="E403" s="1" t="str">
        <f>"15062141625"</f>
        <v>15062141625</v>
      </c>
      <c r="F403" s="1">
        <v>16</v>
      </c>
      <c r="G403" s="1">
        <v>25</v>
      </c>
      <c r="H403" s="5">
        <v>0</v>
      </c>
      <c r="I403" s="1">
        <v>0</v>
      </c>
      <c r="J403" s="1">
        <f>H403+I403</f>
        <v>0</v>
      </c>
    </row>
    <row r="404" spans="1:10">
      <c r="A404" s="1" t="s">
        <v>24</v>
      </c>
      <c r="B404" s="1" t="str">
        <f>"包代兄"</f>
        <v>包代兄</v>
      </c>
      <c r="C404" s="1" t="str">
        <f t="shared" si="48"/>
        <v>女</v>
      </c>
      <c r="D404" s="1" t="str">
        <f t="shared" si="49"/>
        <v>蒙古族</v>
      </c>
      <c r="E404" s="1" t="str">
        <f>"15062141626"</f>
        <v>15062141626</v>
      </c>
      <c r="F404" s="1">
        <v>16</v>
      </c>
      <c r="G404" s="1">
        <v>26</v>
      </c>
      <c r="H404" s="5">
        <v>40.5</v>
      </c>
      <c r="I404" s="1">
        <v>2.5</v>
      </c>
      <c r="J404" s="1">
        <f>I404+H404</f>
        <v>43</v>
      </c>
    </row>
    <row r="405" spans="1:10">
      <c r="A405" s="1" t="s">
        <v>24</v>
      </c>
      <c r="B405" s="1" t="str">
        <f>"塔娜"</f>
        <v>塔娜</v>
      </c>
      <c r="C405" s="1" t="str">
        <f t="shared" si="48"/>
        <v>女</v>
      </c>
      <c r="D405" s="1" t="str">
        <f t="shared" si="49"/>
        <v>蒙古族</v>
      </c>
      <c r="E405" s="1" t="str">
        <f>"15062141627"</f>
        <v>15062141627</v>
      </c>
      <c r="F405" s="1">
        <v>16</v>
      </c>
      <c r="G405" s="1">
        <v>27</v>
      </c>
      <c r="H405" s="5">
        <v>53.5</v>
      </c>
      <c r="I405" s="1">
        <v>2.5</v>
      </c>
      <c r="J405" s="1">
        <f>I405+H405</f>
        <v>56</v>
      </c>
    </row>
    <row r="406" spans="1:10">
      <c r="A406" s="1" t="s">
        <v>24</v>
      </c>
      <c r="B406" s="1" t="str">
        <f>"李塔娜"</f>
        <v>李塔娜</v>
      </c>
      <c r="C406" s="1" t="str">
        <f t="shared" si="48"/>
        <v>女</v>
      </c>
      <c r="D406" s="1" t="str">
        <f t="shared" si="49"/>
        <v>蒙古族</v>
      </c>
      <c r="E406" s="1" t="str">
        <f>"15062141628"</f>
        <v>15062141628</v>
      </c>
      <c r="F406" s="1">
        <v>16</v>
      </c>
      <c r="G406" s="1">
        <v>28</v>
      </c>
      <c r="H406" s="5">
        <v>38</v>
      </c>
      <c r="I406" s="1">
        <v>2.5</v>
      </c>
      <c r="J406" s="1">
        <f>I406+H406</f>
        <v>40.5</v>
      </c>
    </row>
    <row r="407" spans="1:10">
      <c r="A407" s="1" t="s">
        <v>24</v>
      </c>
      <c r="B407" s="1" t="str">
        <f>"白丽萍"</f>
        <v>白丽萍</v>
      </c>
      <c r="C407" s="1" t="str">
        <f t="shared" si="48"/>
        <v>女</v>
      </c>
      <c r="D407" s="1" t="str">
        <f t="shared" si="49"/>
        <v>蒙古族</v>
      </c>
      <c r="E407" s="1" t="str">
        <f>"15062141629"</f>
        <v>15062141629</v>
      </c>
      <c r="F407" s="1">
        <v>16</v>
      </c>
      <c r="G407" s="1">
        <v>29</v>
      </c>
      <c r="H407" s="5">
        <v>39</v>
      </c>
      <c r="I407" s="1">
        <v>2.5</v>
      </c>
      <c r="J407" s="1">
        <f>I407+H407</f>
        <v>41.5</v>
      </c>
    </row>
    <row r="408" spans="1:10">
      <c r="A408" s="1" t="s">
        <v>24</v>
      </c>
      <c r="B408" s="1" t="str">
        <f>"苏力德"</f>
        <v>苏力德</v>
      </c>
      <c r="C408" s="1" t="str">
        <f t="shared" si="48"/>
        <v>女</v>
      </c>
      <c r="D408" s="1" t="str">
        <f t="shared" si="49"/>
        <v>蒙古族</v>
      </c>
      <c r="E408" s="1" t="str">
        <f>"15062141630"</f>
        <v>15062141630</v>
      </c>
      <c r="F408" s="1">
        <v>16</v>
      </c>
      <c r="G408" s="1">
        <v>30</v>
      </c>
      <c r="H408" s="5">
        <v>51</v>
      </c>
      <c r="I408" s="1">
        <v>2.5</v>
      </c>
      <c r="J408" s="1">
        <f>I408+H408</f>
        <v>53.5</v>
      </c>
    </row>
    <row r="409" spans="1:10">
      <c r="A409" s="1" t="s">
        <v>25</v>
      </c>
      <c r="B409" s="1" t="str">
        <f>"韩燕"</f>
        <v>韩燕</v>
      </c>
      <c r="C409" s="1" t="str">
        <f t="shared" si="48"/>
        <v>女</v>
      </c>
      <c r="D409" s="1" t="str">
        <f t="shared" ref="D409:D415" si="50">"汉族"</f>
        <v>汉族</v>
      </c>
      <c r="E409" s="1" t="str">
        <f>"15062151901"</f>
        <v>15062151901</v>
      </c>
      <c r="F409" s="1">
        <v>19</v>
      </c>
      <c r="G409" s="1">
        <v>1</v>
      </c>
      <c r="H409" s="5">
        <v>52</v>
      </c>
      <c r="I409" s="1">
        <v>0</v>
      </c>
      <c r="J409" s="1">
        <f t="shared" ref="J409:J472" si="51">H409+I409</f>
        <v>52</v>
      </c>
    </row>
    <row r="410" spans="1:10">
      <c r="A410" s="1" t="s">
        <v>25</v>
      </c>
      <c r="B410" s="1" t="str">
        <f>"何娜"</f>
        <v>何娜</v>
      </c>
      <c r="C410" s="1" t="str">
        <f t="shared" si="48"/>
        <v>女</v>
      </c>
      <c r="D410" s="1" t="str">
        <f t="shared" si="50"/>
        <v>汉族</v>
      </c>
      <c r="E410" s="1" t="str">
        <f>"15062151902"</f>
        <v>15062151902</v>
      </c>
      <c r="F410" s="1">
        <v>19</v>
      </c>
      <c r="G410" s="1">
        <v>2</v>
      </c>
      <c r="H410" s="5">
        <v>0</v>
      </c>
      <c r="I410" s="1">
        <v>0</v>
      </c>
      <c r="J410" s="1">
        <f t="shared" si="51"/>
        <v>0</v>
      </c>
    </row>
    <row r="411" spans="1:10">
      <c r="A411" s="1" t="s">
        <v>25</v>
      </c>
      <c r="B411" s="1" t="str">
        <f>"张京"</f>
        <v>张京</v>
      </c>
      <c r="C411" s="1" t="str">
        <f t="shared" si="48"/>
        <v>女</v>
      </c>
      <c r="D411" s="1" t="str">
        <f t="shared" si="50"/>
        <v>汉族</v>
      </c>
      <c r="E411" s="1" t="str">
        <f>"15062151903"</f>
        <v>15062151903</v>
      </c>
      <c r="F411" s="1">
        <v>19</v>
      </c>
      <c r="G411" s="1">
        <v>3</v>
      </c>
      <c r="H411" s="5">
        <v>60</v>
      </c>
      <c r="I411" s="1">
        <v>0</v>
      </c>
      <c r="J411" s="1">
        <f t="shared" si="51"/>
        <v>60</v>
      </c>
    </row>
    <row r="412" spans="1:10">
      <c r="A412" s="1" t="s">
        <v>25</v>
      </c>
      <c r="B412" s="1" t="str">
        <f>"杨婷婷"</f>
        <v>杨婷婷</v>
      </c>
      <c r="C412" s="1" t="str">
        <f t="shared" si="48"/>
        <v>女</v>
      </c>
      <c r="D412" s="1" t="str">
        <f t="shared" si="50"/>
        <v>汉族</v>
      </c>
      <c r="E412" s="1" t="str">
        <f>"15062151904"</f>
        <v>15062151904</v>
      </c>
      <c r="F412" s="1">
        <v>19</v>
      </c>
      <c r="G412" s="1">
        <v>4</v>
      </c>
      <c r="H412" s="5">
        <v>0</v>
      </c>
      <c r="I412" s="1">
        <v>0</v>
      </c>
      <c r="J412" s="1">
        <f t="shared" si="51"/>
        <v>0</v>
      </c>
    </row>
    <row r="413" spans="1:10">
      <c r="A413" s="1" t="s">
        <v>25</v>
      </c>
      <c r="B413" s="1" t="str">
        <f>"贾瑞霞"</f>
        <v>贾瑞霞</v>
      </c>
      <c r="C413" s="1" t="str">
        <f t="shared" si="48"/>
        <v>女</v>
      </c>
      <c r="D413" s="1" t="str">
        <f t="shared" si="50"/>
        <v>汉族</v>
      </c>
      <c r="E413" s="1" t="str">
        <f>"15062151905"</f>
        <v>15062151905</v>
      </c>
      <c r="F413" s="1">
        <v>19</v>
      </c>
      <c r="G413" s="1">
        <v>5</v>
      </c>
      <c r="H413" s="5">
        <v>64</v>
      </c>
      <c r="I413" s="1">
        <v>0</v>
      </c>
      <c r="J413" s="1">
        <f t="shared" si="51"/>
        <v>64</v>
      </c>
    </row>
    <row r="414" spans="1:10">
      <c r="A414" s="1" t="s">
        <v>25</v>
      </c>
      <c r="B414" s="1" t="str">
        <f>"全荣"</f>
        <v>全荣</v>
      </c>
      <c r="C414" s="1" t="str">
        <f t="shared" si="48"/>
        <v>女</v>
      </c>
      <c r="D414" s="1" t="str">
        <f t="shared" si="50"/>
        <v>汉族</v>
      </c>
      <c r="E414" s="1" t="str">
        <f>"15062151906"</f>
        <v>15062151906</v>
      </c>
      <c r="F414" s="1">
        <v>19</v>
      </c>
      <c r="G414" s="1">
        <v>6</v>
      </c>
      <c r="H414" s="5">
        <v>0</v>
      </c>
      <c r="I414" s="1">
        <v>0</v>
      </c>
      <c r="J414" s="1">
        <f t="shared" si="51"/>
        <v>0</v>
      </c>
    </row>
    <row r="415" spans="1:10">
      <c r="A415" s="1" t="s">
        <v>25</v>
      </c>
      <c r="B415" s="1" t="str">
        <f>"贾宇超"</f>
        <v>贾宇超</v>
      </c>
      <c r="C415" s="1" t="str">
        <f>"男"</f>
        <v>男</v>
      </c>
      <c r="D415" s="1" t="str">
        <f t="shared" si="50"/>
        <v>汉族</v>
      </c>
      <c r="E415" s="1" t="str">
        <f>"15062151907"</f>
        <v>15062151907</v>
      </c>
      <c r="F415" s="1">
        <v>19</v>
      </c>
      <c r="G415" s="1">
        <v>7</v>
      </c>
      <c r="H415" s="5">
        <v>48</v>
      </c>
      <c r="I415" s="1">
        <v>0</v>
      </c>
      <c r="J415" s="1">
        <f t="shared" si="51"/>
        <v>48</v>
      </c>
    </row>
    <row r="416" spans="1:10">
      <c r="A416" s="1" t="s">
        <v>25</v>
      </c>
      <c r="B416" s="1" t="str">
        <f>"郝俊丽"</f>
        <v>郝俊丽</v>
      </c>
      <c r="C416" s="1" t="str">
        <f>"女"</f>
        <v>女</v>
      </c>
      <c r="D416" s="1" t="str">
        <f>"蒙古族"</f>
        <v>蒙古族</v>
      </c>
      <c r="E416" s="1" t="str">
        <f>"15062151908"</f>
        <v>15062151908</v>
      </c>
      <c r="F416" s="1">
        <v>19</v>
      </c>
      <c r="G416" s="1">
        <v>8</v>
      </c>
      <c r="H416" s="5">
        <v>0</v>
      </c>
      <c r="I416" s="1">
        <v>0</v>
      </c>
      <c r="J416" s="1">
        <f t="shared" si="51"/>
        <v>0</v>
      </c>
    </row>
    <row r="417" spans="1:10">
      <c r="A417" s="1" t="s">
        <v>25</v>
      </c>
      <c r="B417" s="1" t="str">
        <f>"闫宇萍"</f>
        <v>闫宇萍</v>
      </c>
      <c r="C417" s="1" t="str">
        <f>"女"</f>
        <v>女</v>
      </c>
      <c r="D417" s="1" t="str">
        <f>"汉族"</f>
        <v>汉族</v>
      </c>
      <c r="E417" s="1" t="str">
        <f>"15062151909"</f>
        <v>15062151909</v>
      </c>
      <c r="F417" s="1">
        <v>19</v>
      </c>
      <c r="G417" s="1">
        <v>9</v>
      </c>
      <c r="H417" s="5">
        <v>0</v>
      </c>
      <c r="I417" s="1">
        <v>0</v>
      </c>
      <c r="J417" s="1">
        <f t="shared" si="51"/>
        <v>0</v>
      </c>
    </row>
    <row r="418" spans="1:10">
      <c r="A418" s="1" t="s">
        <v>25</v>
      </c>
      <c r="B418" s="1" t="str">
        <f>"郝新源"</f>
        <v>郝新源</v>
      </c>
      <c r="C418" s="1" t="str">
        <f>"男"</f>
        <v>男</v>
      </c>
      <c r="D418" s="1" t="str">
        <f>"蒙古族"</f>
        <v>蒙古族</v>
      </c>
      <c r="E418" s="1" t="str">
        <f>"15062151910"</f>
        <v>15062151910</v>
      </c>
      <c r="F418" s="1">
        <v>19</v>
      </c>
      <c r="G418" s="1">
        <v>10</v>
      </c>
      <c r="H418" s="5">
        <v>44</v>
      </c>
      <c r="I418" s="1">
        <v>2.5</v>
      </c>
      <c r="J418" s="1">
        <f t="shared" si="51"/>
        <v>46.5</v>
      </c>
    </row>
    <row r="419" spans="1:10">
      <c r="A419" s="1" t="s">
        <v>25</v>
      </c>
      <c r="B419" s="1" t="str">
        <f>"刘泽浩"</f>
        <v>刘泽浩</v>
      </c>
      <c r="C419" s="1" t="str">
        <f>"男"</f>
        <v>男</v>
      </c>
      <c r="D419" s="1" t="str">
        <f>"汉族"</f>
        <v>汉族</v>
      </c>
      <c r="E419" s="1" t="str">
        <f>"15062151911"</f>
        <v>15062151911</v>
      </c>
      <c r="F419" s="1">
        <v>19</v>
      </c>
      <c r="G419" s="1">
        <v>11</v>
      </c>
      <c r="H419" s="5">
        <v>0</v>
      </c>
      <c r="I419" s="1">
        <v>0</v>
      </c>
      <c r="J419" s="1">
        <f t="shared" si="51"/>
        <v>0</v>
      </c>
    </row>
    <row r="420" spans="1:10">
      <c r="A420" s="1" t="s">
        <v>25</v>
      </c>
      <c r="B420" s="1" t="str">
        <f>"吉仁高娃"</f>
        <v>吉仁高娃</v>
      </c>
      <c r="C420" s="1" t="str">
        <f>"女"</f>
        <v>女</v>
      </c>
      <c r="D420" s="1" t="str">
        <f>"蒙古族"</f>
        <v>蒙古族</v>
      </c>
      <c r="E420" s="1" t="str">
        <f>"15062151912"</f>
        <v>15062151912</v>
      </c>
      <c r="F420" s="1">
        <v>19</v>
      </c>
      <c r="G420" s="1">
        <v>12</v>
      </c>
      <c r="H420" s="5">
        <v>0</v>
      </c>
      <c r="I420" s="1">
        <v>0</v>
      </c>
      <c r="J420" s="1">
        <f t="shared" si="51"/>
        <v>0</v>
      </c>
    </row>
    <row r="421" spans="1:10">
      <c r="A421" s="1" t="s">
        <v>25</v>
      </c>
      <c r="B421" s="1" t="str">
        <f>"石伊东"</f>
        <v>石伊东</v>
      </c>
      <c r="C421" s="1" t="str">
        <f>"男"</f>
        <v>男</v>
      </c>
      <c r="D421" s="1" t="str">
        <f t="shared" ref="D421:D431" si="52">"汉族"</f>
        <v>汉族</v>
      </c>
      <c r="E421" s="1" t="str">
        <f>"15062151913"</f>
        <v>15062151913</v>
      </c>
      <c r="F421" s="1">
        <v>19</v>
      </c>
      <c r="G421" s="1">
        <v>13</v>
      </c>
      <c r="H421" s="5">
        <v>71</v>
      </c>
      <c r="I421" s="1">
        <v>0</v>
      </c>
      <c r="J421" s="1">
        <f t="shared" si="51"/>
        <v>71</v>
      </c>
    </row>
    <row r="422" spans="1:10">
      <c r="A422" s="1" t="s">
        <v>25</v>
      </c>
      <c r="B422" s="1" t="str">
        <f>"陈凤"</f>
        <v>陈凤</v>
      </c>
      <c r="C422" s="1" t="str">
        <f>"女"</f>
        <v>女</v>
      </c>
      <c r="D422" s="1" t="str">
        <f t="shared" si="52"/>
        <v>汉族</v>
      </c>
      <c r="E422" s="1" t="str">
        <f>"15062151914"</f>
        <v>15062151914</v>
      </c>
      <c r="F422" s="1">
        <v>19</v>
      </c>
      <c r="G422" s="1">
        <v>14</v>
      </c>
      <c r="H422" s="5">
        <v>0</v>
      </c>
      <c r="I422" s="1">
        <v>0</v>
      </c>
      <c r="J422" s="1">
        <f t="shared" si="51"/>
        <v>0</v>
      </c>
    </row>
    <row r="423" spans="1:10">
      <c r="A423" s="1" t="s">
        <v>25</v>
      </c>
      <c r="B423" s="1" t="str">
        <f>"何帅"</f>
        <v>何帅</v>
      </c>
      <c r="C423" s="1" t="str">
        <f>"男"</f>
        <v>男</v>
      </c>
      <c r="D423" s="1" t="str">
        <f t="shared" si="52"/>
        <v>汉族</v>
      </c>
      <c r="E423" s="1" t="str">
        <f>"15062151915"</f>
        <v>15062151915</v>
      </c>
      <c r="F423" s="1">
        <v>19</v>
      </c>
      <c r="G423" s="1">
        <v>15</v>
      </c>
      <c r="H423" s="5">
        <v>0</v>
      </c>
      <c r="I423" s="1">
        <v>0</v>
      </c>
      <c r="J423" s="1">
        <f t="shared" si="51"/>
        <v>0</v>
      </c>
    </row>
    <row r="424" spans="1:10">
      <c r="A424" s="1" t="s">
        <v>25</v>
      </c>
      <c r="B424" s="1" t="str">
        <f>"康渊珍"</f>
        <v>康渊珍</v>
      </c>
      <c r="C424" s="1" t="str">
        <f>"女"</f>
        <v>女</v>
      </c>
      <c r="D424" s="1" t="str">
        <f t="shared" si="52"/>
        <v>汉族</v>
      </c>
      <c r="E424" s="1" t="str">
        <f>"15062151916"</f>
        <v>15062151916</v>
      </c>
      <c r="F424" s="1">
        <v>19</v>
      </c>
      <c r="G424" s="1">
        <v>16</v>
      </c>
      <c r="H424" s="5">
        <v>48</v>
      </c>
      <c r="I424" s="1">
        <v>0</v>
      </c>
      <c r="J424" s="1">
        <f t="shared" si="51"/>
        <v>48</v>
      </c>
    </row>
    <row r="425" spans="1:10">
      <c r="A425" s="1" t="s">
        <v>25</v>
      </c>
      <c r="B425" s="1" t="str">
        <f>"王昊明"</f>
        <v>王昊明</v>
      </c>
      <c r="C425" s="1" t="str">
        <f>"男"</f>
        <v>男</v>
      </c>
      <c r="D425" s="1" t="str">
        <f t="shared" si="52"/>
        <v>汉族</v>
      </c>
      <c r="E425" s="1" t="str">
        <f>"15062151917"</f>
        <v>15062151917</v>
      </c>
      <c r="F425" s="1">
        <v>19</v>
      </c>
      <c r="G425" s="1">
        <v>17</v>
      </c>
      <c r="H425" s="5">
        <v>0</v>
      </c>
      <c r="I425" s="1">
        <v>0</v>
      </c>
      <c r="J425" s="1">
        <f t="shared" si="51"/>
        <v>0</v>
      </c>
    </row>
    <row r="426" spans="1:10">
      <c r="A426" s="1" t="s">
        <v>25</v>
      </c>
      <c r="B426" s="1" t="str">
        <f>"马浩中"</f>
        <v>马浩中</v>
      </c>
      <c r="C426" s="1" t="str">
        <f>"男"</f>
        <v>男</v>
      </c>
      <c r="D426" s="1" t="str">
        <f t="shared" si="52"/>
        <v>汉族</v>
      </c>
      <c r="E426" s="1" t="str">
        <f>"15062151918"</f>
        <v>15062151918</v>
      </c>
      <c r="F426" s="1">
        <v>19</v>
      </c>
      <c r="G426" s="1">
        <v>18</v>
      </c>
      <c r="H426" s="5">
        <v>46</v>
      </c>
      <c r="I426" s="1">
        <v>0</v>
      </c>
      <c r="J426" s="1">
        <f t="shared" si="51"/>
        <v>46</v>
      </c>
    </row>
    <row r="427" spans="1:10">
      <c r="A427" s="1" t="s">
        <v>25</v>
      </c>
      <c r="B427" s="1" t="str">
        <f>"陈冉星"</f>
        <v>陈冉星</v>
      </c>
      <c r="C427" s="1" t="str">
        <f>"女"</f>
        <v>女</v>
      </c>
      <c r="D427" s="1" t="str">
        <f t="shared" si="52"/>
        <v>汉族</v>
      </c>
      <c r="E427" s="1" t="str">
        <f>"15062151919"</f>
        <v>15062151919</v>
      </c>
      <c r="F427" s="1">
        <v>19</v>
      </c>
      <c r="G427" s="1">
        <v>19</v>
      </c>
      <c r="H427" s="5">
        <v>50</v>
      </c>
      <c r="I427" s="1">
        <v>0</v>
      </c>
      <c r="J427" s="1">
        <f t="shared" si="51"/>
        <v>50</v>
      </c>
    </row>
    <row r="428" spans="1:10">
      <c r="A428" s="1" t="s">
        <v>25</v>
      </c>
      <c r="B428" s="1" t="str">
        <f>"惠莉"</f>
        <v>惠莉</v>
      </c>
      <c r="C428" s="1" t="str">
        <f>"女"</f>
        <v>女</v>
      </c>
      <c r="D428" s="1" t="str">
        <f t="shared" si="52"/>
        <v>汉族</v>
      </c>
      <c r="E428" s="1" t="str">
        <f>"15062151920"</f>
        <v>15062151920</v>
      </c>
      <c r="F428" s="1">
        <v>19</v>
      </c>
      <c r="G428" s="1">
        <v>20</v>
      </c>
      <c r="H428" s="5">
        <v>0</v>
      </c>
      <c r="I428" s="1">
        <v>0</v>
      </c>
      <c r="J428" s="1">
        <f t="shared" si="51"/>
        <v>0</v>
      </c>
    </row>
    <row r="429" spans="1:10">
      <c r="A429" s="1" t="s">
        <v>25</v>
      </c>
      <c r="B429" s="1" t="str">
        <f>"孟艳"</f>
        <v>孟艳</v>
      </c>
      <c r="C429" s="1" t="str">
        <f>"女"</f>
        <v>女</v>
      </c>
      <c r="D429" s="1" t="str">
        <f t="shared" si="52"/>
        <v>汉族</v>
      </c>
      <c r="E429" s="1" t="str">
        <f>"15062151921"</f>
        <v>15062151921</v>
      </c>
      <c r="F429" s="1">
        <v>19</v>
      </c>
      <c r="G429" s="1">
        <v>21</v>
      </c>
      <c r="H429" s="5">
        <v>0</v>
      </c>
      <c r="I429" s="1">
        <v>0</v>
      </c>
      <c r="J429" s="1">
        <f t="shared" si="51"/>
        <v>0</v>
      </c>
    </row>
    <row r="430" spans="1:10">
      <c r="A430" s="1" t="s">
        <v>25</v>
      </c>
      <c r="B430" s="1" t="str">
        <f>"吕慧萍"</f>
        <v>吕慧萍</v>
      </c>
      <c r="C430" s="1" t="str">
        <f>"女"</f>
        <v>女</v>
      </c>
      <c r="D430" s="1" t="str">
        <f t="shared" si="52"/>
        <v>汉族</v>
      </c>
      <c r="E430" s="1" t="str">
        <f>"15062151922"</f>
        <v>15062151922</v>
      </c>
      <c r="F430" s="1">
        <v>19</v>
      </c>
      <c r="G430" s="1">
        <v>22</v>
      </c>
      <c r="H430" s="5">
        <v>60</v>
      </c>
      <c r="I430" s="1">
        <v>0</v>
      </c>
      <c r="J430" s="1">
        <f t="shared" si="51"/>
        <v>60</v>
      </c>
    </row>
    <row r="431" spans="1:10">
      <c r="A431" s="1" t="s">
        <v>25</v>
      </c>
      <c r="B431" s="1" t="str">
        <f>"高星宇"</f>
        <v>高星宇</v>
      </c>
      <c r="C431" s="1" t="str">
        <f>"男"</f>
        <v>男</v>
      </c>
      <c r="D431" s="1" t="str">
        <f t="shared" si="52"/>
        <v>汉族</v>
      </c>
      <c r="E431" s="1" t="str">
        <f>"15062151923"</f>
        <v>15062151923</v>
      </c>
      <c r="F431" s="1">
        <v>19</v>
      </c>
      <c r="G431" s="1">
        <v>23</v>
      </c>
      <c r="H431" s="5">
        <v>0</v>
      </c>
      <c r="I431" s="1">
        <v>0</v>
      </c>
      <c r="J431" s="1">
        <f t="shared" si="51"/>
        <v>0</v>
      </c>
    </row>
    <row r="432" spans="1:10">
      <c r="A432" s="1" t="s">
        <v>25</v>
      </c>
      <c r="B432" s="1" t="str">
        <f>"唐彦蓉"</f>
        <v>唐彦蓉</v>
      </c>
      <c r="C432" s="1" t="str">
        <f>"女"</f>
        <v>女</v>
      </c>
      <c r="D432" s="1" t="str">
        <f>"蒙古族"</f>
        <v>蒙古族</v>
      </c>
      <c r="E432" s="1" t="str">
        <f>"15062151924"</f>
        <v>15062151924</v>
      </c>
      <c r="F432" s="1">
        <v>19</v>
      </c>
      <c r="G432" s="1">
        <v>24</v>
      </c>
      <c r="H432" s="5">
        <v>63</v>
      </c>
      <c r="I432" s="1">
        <v>2.5</v>
      </c>
      <c r="J432" s="1">
        <f t="shared" si="51"/>
        <v>65.5</v>
      </c>
    </row>
    <row r="433" spans="1:10">
      <c r="A433" s="1" t="s">
        <v>25</v>
      </c>
      <c r="B433" s="1" t="str">
        <f>"张鑫瑞"</f>
        <v>张鑫瑞</v>
      </c>
      <c r="C433" s="1" t="str">
        <f>"男"</f>
        <v>男</v>
      </c>
      <c r="D433" s="1" t="str">
        <f>"汉族"</f>
        <v>汉族</v>
      </c>
      <c r="E433" s="1" t="str">
        <f>"15062151925"</f>
        <v>15062151925</v>
      </c>
      <c r="F433" s="1">
        <v>19</v>
      </c>
      <c r="G433" s="1">
        <v>25</v>
      </c>
      <c r="H433" s="5">
        <v>57</v>
      </c>
      <c r="I433" s="1">
        <v>0</v>
      </c>
      <c r="J433" s="1">
        <f t="shared" si="51"/>
        <v>57</v>
      </c>
    </row>
    <row r="434" spans="1:10">
      <c r="A434" s="1" t="s">
        <v>25</v>
      </c>
      <c r="B434" s="1" t="str">
        <f>"刘佳宇"</f>
        <v>刘佳宇</v>
      </c>
      <c r="C434" s="1" t="str">
        <f>"女"</f>
        <v>女</v>
      </c>
      <c r="D434" s="1" t="str">
        <f>"汉族"</f>
        <v>汉族</v>
      </c>
      <c r="E434" s="1" t="str">
        <f>"15062151926"</f>
        <v>15062151926</v>
      </c>
      <c r="F434" s="1">
        <v>19</v>
      </c>
      <c r="G434" s="1">
        <v>26</v>
      </c>
      <c r="H434" s="5">
        <v>0</v>
      </c>
      <c r="I434" s="1">
        <v>0</v>
      </c>
      <c r="J434" s="1">
        <f t="shared" si="51"/>
        <v>0</v>
      </c>
    </row>
    <row r="435" spans="1:10">
      <c r="A435" s="1" t="s">
        <v>25</v>
      </c>
      <c r="B435" s="1" t="str">
        <f>"王海云"</f>
        <v>王海云</v>
      </c>
      <c r="C435" s="1" t="str">
        <f>"男"</f>
        <v>男</v>
      </c>
      <c r="D435" s="1" t="str">
        <f>"汉族"</f>
        <v>汉族</v>
      </c>
      <c r="E435" s="1" t="str">
        <f>"15062151927"</f>
        <v>15062151927</v>
      </c>
      <c r="F435" s="1">
        <v>19</v>
      </c>
      <c r="G435" s="1">
        <v>27</v>
      </c>
      <c r="H435" s="5">
        <v>0</v>
      </c>
      <c r="I435" s="1">
        <v>0</v>
      </c>
      <c r="J435" s="1">
        <f t="shared" si="51"/>
        <v>0</v>
      </c>
    </row>
    <row r="436" spans="1:10">
      <c r="A436" s="1" t="s">
        <v>25</v>
      </c>
      <c r="B436" s="1" t="str">
        <f>"乌日汉"</f>
        <v>乌日汉</v>
      </c>
      <c r="C436" s="1" t="str">
        <f>"女"</f>
        <v>女</v>
      </c>
      <c r="D436" s="1" t="str">
        <f>"蒙古族"</f>
        <v>蒙古族</v>
      </c>
      <c r="E436" s="1" t="str">
        <f>"15062151928"</f>
        <v>15062151928</v>
      </c>
      <c r="F436" s="1">
        <v>19</v>
      </c>
      <c r="G436" s="1">
        <v>28</v>
      </c>
      <c r="H436" s="5">
        <v>0</v>
      </c>
      <c r="I436" s="1">
        <v>0</v>
      </c>
      <c r="J436" s="1">
        <f t="shared" si="51"/>
        <v>0</v>
      </c>
    </row>
    <row r="437" spans="1:10">
      <c r="A437" s="1" t="s">
        <v>25</v>
      </c>
      <c r="B437" s="1" t="str">
        <f>"马昊田"</f>
        <v>马昊田</v>
      </c>
      <c r="C437" s="1" t="str">
        <f>"男"</f>
        <v>男</v>
      </c>
      <c r="D437" s="1" t="str">
        <f>"汉族"</f>
        <v>汉族</v>
      </c>
      <c r="E437" s="1" t="str">
        <f>"15062151929"</f>
        <v>15062151929</v>
      </c>
      <c r="F437" s="1">
        <v>19</v>
      </c>
      <c r="G437" s="1">
        <v>29</v>
      </c>
      <c r="H437" s="5">
        <v>53</v>
      </c>
      <c r="I437" s="1">
        <v>0</v>
      </c>
      <c r="J437" s="1">
        <f t="shared" si="51"/>
        <v>53</v>
      </c>
    </row>
    <row r="438" spans="1:10">
      <c r="A438" s="1" t="s">
        <v>25</v>
      </c>
      <c r="B438" s="1" t="str">
        <f>"陈金磊"</f>
        <v>陈金磊</v>
      </c>
      <c r="C438" s="1" t="str">
        <f>"男"</f>
        <v>男</v>
      </c>
      <c r="D438" s="1" t="str">
        <f>"蒙古族"</f>
        <v>蒙古族</v>
      </c>
      <c r="E438" s="1" t="str">
        <f>"15062151930"</f>
        <v>15062151930</v>
      </c>
      <c r="F438" s="1">
        <v>19</v>
      </c>
      <c r="G438" s="1">
        <v>30</v>
      </c>
      <c r="H438" s="5">
        <v>0</v>
      </c>
      <c r="I438" s="1">
        <v>0</v>
      </c>
      <c r="J438" s="1">
        <f t="shared" si="51"/>
        <v>0</v>
      </c>
    </row>
    <row r="439" spans="1:10">
      <c r="A439" s="1" t="s">
        <v>25</v>
      </c>
      <c r="B439" s="1" t="str">
        <f>" 王麒博"</f>
        <v xml:space="preserve"> 王麒博</v>
      </c>
      <c r="C439" s="1" t="str">
        <f>"男"</f>
        <v>男</v>
      </c>
      <c r="D439" s="1" t="str">
        <f t="shared" ref="D439:D444" si="53">"汉族"</f>
        <v>汉族</v>
      </c>
      <c r="E439" s="1" t="str">
        <f>"15062152001"</f>
        <v>15062152001</v>
      </c>
      <c r="F439" s="1">
        <v>20</v>
      </c>
      <c r="G439" s="1">
        <v>1</v>
      </c>
      <c r="H439" s="5">
        <v>0</v>
      </c>
      <c r="I439" s="1">
        <v>0</v>
      </c>
      <c r="J439" s="1">
        <f t="shared" si="51"/>
        <v>0</v>
      </c>
    </row>
    <row r="440" spans="1:10">
      <c r="A440" s="1" t="s">
        <v>25</v>
      </c>
      <c r="B440" s="1" t="str">
        <f>"庞静"</f>
        <v>庞静</v>
      </c>
      <c r="C440" s="1" t="str">
        <f>"女"</f>
        <v>女</v>
      </c>
      <c r="D440" s="1" t="str">
        <f t="shared" si="53"/>
        <v>汉族</v>
      </c>
      <c r="E440" s="1" t="str">
        <f>"15062152002"</f>
        <v>15062152002</v>
      </c>
      <c r="F440" s="1">
        <v>20</v>
      </c>
      <c r="G440" s="1">
        <v>2</v>
      </c>
      <c r="H440" s="5">
        <v>0</v>
      </c>
      <c r="I440" s="1">
        <v>0</v>
      </c>
      <c r="J440" s="1">
        <f t="shared" si="51"/>
        <v>0</v>
      </c>
    </row>
    <row r="441" spans="1:10">
      <c r="A441" s="1" t="s">
        <v>25</v>
      </c>
      <c r="B441" s="1" t="str">
        <f>"张世民"</f>
        <v>张世民</v>
      </c>
      <c r="C441" s="1" t="str">
        <f>"男"</f>
        <v>男</v>
      </c>
      <c r="D441" s="1" t="str">
        <f t="shared" si="53"/>
        <v>汉族</v>
      </c>
      <c r="E441" s="1" t="str">
        <f>"15062152003"</f>
        <v>15062152003</v>
      </c>
      <c r="F441" s="1">
        <v>20</v>
      </c>
      <c r="G441" s="1">
        <v>3</v>
      </c>
      <c r="H441" s="5">
        <v>54</v>
      </c>
      <c r="I441" s="1">
        <v>0</v>
      </c>
      <c r="J441" s="1">
        <f t="shared" si="51"/>
        <v>54</v>
      </c>
    </row>
    <row r="442" spans="1:10">
      <c r="A442" s="1" t="s">
        <v>25</v>
      </c>
      <c r="B442" s="1" t="str">
        <f>"王玥"</f>
        <v>王玥</v>
      </c>
      <c r="C442" s="1" t="str">
        <f>"女"</f>
        <v>女</v>
      </c>
      <c r="D442" s="1" t="str">
        <f t="shared" si="53"/>
        <v>汉族</v>
      </c>
      <c r="E442" s="1" t="str">
        <f>"15062152004"</f>
        <v>15062152004</v>
      </c>
      <c r="F442" s="1">
        <v>20</v>
      </c>
      <c r="G442" s="1">
        <v>4</v>
      </c>
      <c r="H442" s="5">
        <v>0</v>
      </c>
      <c r="I442" s="1">
        <v>0</v>
      </c>
      <c r="J442" s="1">
        <f t="shared" si="51"/>
        <v>0</v>
      </c>
    </row>
    <row r="443" spans="1:10">
      <c r="A443" s="1" t="s">
        <v>25</v>
      </c>
      <c r="B443" s="1" t="str">
        <f>"马慧"</f>
        <v>马慧</v>
      </c>
      <c r="C443" s="1" t="str">
        <f>"女"</f>
        <v>女</v>
      </c>
      <c r="D443" s="1" t="str">
        <f t="shared" si="53"/>
        <v>汉族</v>
      </c>
      <c r="E443" s="1" t="str">
        <f>"15062152005"</f>
        <v>15062152005</v>
      </c>
      <c r="F443" s="1">
        <v>20</v>
      </c>
      <c r="G443" s="1">
        <v>5</v>
      </c>
      <c r="H443" s="5">
        <v>0</v>
      </c>
      <c r="I443" s="1">
        <v>0</v>
      </c>
      <c r="J443" s="1">
        <f t="shared" si="51"/>
        <v>0</v>
      </c>
    </row>
    <row r="444" spans="1:10">
      <c r="A444" s="1" t="s">
        <v>25</v>
      </c>
      <c r="B444" s="1" t="str">
        <f>"王杰"</f>
        <v>王杰</v>
      </c>
      <c r="C444" s="1" t="str">
        <f>"男"</f>
        <v>男</v>
      </c>
      <c r="D444" s="1" t="str">
        <f t="shared" si="53"/>
        <v>汉族</v>
      </c>
      <c r="E444" s="1" t="str">
        <f>"15062152006"</f>
        <v>15062152006</v>
      </c>
      <c r="F444" s="1">
        <v>20</v>
      </c>
      <c r="G444" s="1">
        <v>6</v>
      </c>
      <c r="H444" s="5">
        <v>0</v>
      </c>
      <c r="I444" s="1">
        <v>0</v>
      </c>
      <c r="J444" s="1">
        <f t="shared" si="51"/>
        <v>0</v>
      </c>
    </row>
    <row r="445" spans="1:10">
      <c r="A445" s="1" t="s">
        <v>25</v>
      </c>
      <c r="B445" s="1" t="str">
        <f>"刘艳"</f>
        <v>刘艳</v>
      </c>
      <c r="C445" s="1" t="str">
        <f>"女"</f>
        <v>女</v>
      </c>
      <c r="D445" s="1" t="str">
        <f>"蒙古族"</f>
        <v>蒙古族</v>
      </c>
      <c r="E445" s="1" t="str">
        <f>"15062152007"</f>
        <v>15062152007</v>
      </c>
      <c r="F445" s="1">
        <v>20</v>
      </c>
      <c r="G445" s="1">
        <v>7</v>
      </c>
      <c r="H445" s="5">
        <v>0</v>
      </c>
      <c r="I445" s="1">
        <v>0</v>
      </c>
      <c r="J445" s="1">
        <f t="shared" si="51"/>
        <v>0</v>
      </c>
    </row>
    <row r="446" spans="1:10">
      <c r="A446" s="1" t="s">
        <v>25</v>
      </c>
      <c r="B446" s="1" t="str">
        <f>"刘敏"</f>
        <v>刘敏</v>
      </c>
      <c r="C446" s="1" t="str">
        <f>"女"</f>
        <v>女</v>
      </c>
      <c r="D446" s="1" t="str">
        <f>"汉族"</f>
        <v>汉族</v>
      </c>
      <c r="E446" s="1" t="str">
        <f>"15062152008"</f>
        <v>15062152008</v>
      </c>
      <c r="F446" s="1">
        <v>20</v>
      </c>
      <c r="G446" s="1">
        <v>8</v>
      </c>
      <c r="H446" s="5">
        <v>52</v>
      </c>
      <c r="I446" s="1">
        <v>0</v>
      </c>
      <c r="J446" s="1">
        <f t="shared" si="51"/>
        <v>52</v>
      </c>
    </row>
    <row r="447" spans="1:10">
      <c r="A447" s="1" t="s">
        <v>25</v>
      </c>
      <c r="B447" s="1" t="str">
        <f>"赵雄"</f>
        <v>赵雄</v>
      </c>
      <c r="C447" s="1" t="str">
        <f>"男"</f>
        <v>男</v>
      </c>
      <c r="D447" s="1" t="str">
        <f>"汉族"</f>
        <v>汉族</v>
      </c>
      <c r="E447" s="1" t="str">
        <f>"15062152009"</f>
        <v>15062152009</v>
      </c>
      <c r="F447" s="1">
        <v>20</v>
      </c>
      <c r="G447" s="1">
        <v>9</v>
      </c>
      <c r="H447" s="5">
        <v>0</v>
      </c>
      <c r="I447" s="1">
        <v>0</v>
      </c>
      <c r="J447" s="1">
        <f t="shared" si="51"/>
        <v>0</v>
      </c>
    </row>
    <row r="448" spans="1:10">
      <c r="A448" s="1" t="s">
        <v>25</v>
      </c>
      <c r="B448" s="1" t="str">
        <f>"赵丽倩"</f>
        <v>赵丽倩</v>
      </c>
      <c r="C448" s="1" t="str">
        <f>"女"</f>
        <v>女</v>
      </c>
      <c r="D448" s="1" t="str">
        <f>"汉族"</f>
        <v>汉族</v>
      </c>
      <c r="E448" s="1" t="str">
        <f>"15062152010"</f>
        <v>15062152010</v>
      </c>
      <c r="F448" s="1">
        <v>20</v>
      </c>
      <c r="G448" s="1">
        <v>10</v>
      </c>
      <c r="H448" s="5">
        <v>55</v>
      </c>
      <c r="I448" s="1">
        <v>0</v>
      </c>
      <c r="J448" s="1">
        <f t="shared" si="51"/>
        <v>55</v>
      </c>
    </row>
    <row r="449" spans="1:10">
      <c r="A449" s="1" t="s">
        <v>26</v>
      </c>
      <c r="B449" s="1" t="str">
        <f>"折蓉蓉"</f>
        <v>折蓉蓉</v>
      </c>
      <c r="C449" s="1" t="str">
        <f>"女"</f>
        <v>女</v>
      </c>
      <c r="D449" s="1" t="str">
        <f>"汉族"</f>
        <v>汉族</v>
      </c>
      <c r="E449" s="1" t="str">
        <f>"15062162011"</f>
        <v>15062162011</v>
      </c>
      <c r="F449" s="1">
        <v>20</v>
      </c>
      <c r="G449" s="1">
        <v>11</v>
      </c>
      <c r="H449" s="5">
        <v>52</v>
      </c>
      <c r="I449" s="1">
        <v>0</v>
      </c>
      <c r="J449" s="1">
        <f t="shared" si="51"/>
        <v>52</v>
      </c>
    </row>
    <row r="450" spans="1:10">
      <c r="A450" s="1" t="s">
        <v>26</v>
      </c>
      <c r="B450" s="1" t="str">
        <f>"赵玉武"</f>
        <v>赵玉武</v>
      </c>
      <c r="C450" s="1" t="str">
        <f>"男"</f>
        <v>男</v>
      </c>
      <c r="D450" s="1" t="str">
        <f>"汉族"</f>
        <v>汉族</v>
      </c>
      <c r="E450" s="1" t="str">
        <f>"15062162012"</f>
        <v>15062162012</v>
      </c>
      <c r="F450" s="1">
        <v>20</v>
      </c>
      <c r="G450" s="1">
        <v>12</v>
      </c>
      <c r="H450" s="5">
        <v>0</v>
      </c>
      <c r="I450" s="1">
        <v>0</v>
      </c>
      <c r="J450" s="1">
        <f t="shared" si="51"/>
        <v>0</v>
      </c>
    </row>
    <row r="451" spans="1:10">
      <c r="A451" s="1" t="s">
        <v>26</v>
      </c>
      <c r="B451" s="1" t="str">
        <f>"宋雨涵"</f>
        <v>宋雨涵</v>
      </c>
      <c r="C451" s="1" t="str">
        <f>"女"</f>
        <v>女</v>
      </c>
      <c r="D451" s="1" t="str">
        <f>"蒙古族"</f>
        <v>蒙古族</v>
      </c>
      <c r="E451" s="1" t="str">
        <f>"15062162013"</f>
        <v>15062162013</v>
      </c>
      <c r="F451" s="1">
        <v>20</v>
      </c>
      <c r="G451" s="1">
        <v>13</v>
      </c>
      <c r="H451" s="5">
        <v>67</v>
      </c>
      <c r="I451" s="1">
        <v>2.5</v>
      </c>
      <c r="J451" s="1">
        <f t="shared" si="51"/>
        <v>69.5</v>
      </c>
    </row>
    <row r="452" spans="1:10">
      <c r="A452" s="1" t="s">
        <v>26</v>
      </c>
      <c r="B452" s="1" t="str">
        <f>"刘俊杰"</f>
        <v>刘俊杰</v>
      </c>
      <c r="C452" s="1" t="str">
        <f>"男"</f>
        <v>男</v>
      </c>
      <c r="D452" s="1" t="str">
        <f t="shared" ref="D452:D462" si="54">"汉族"</f>
        <v>汉族</v>
      </c>
      <c r="E452" s="1" t="str">
        <f>"15062162014"</f>
        <v>15062162014</v>
      </c>
      <c r="F452" s="1">
        <v>20</v>
      </c>
      <c r="G452" s="1">
        <v>14</v>
      </c>
      <c r="H452" s="5">
        <v>0</v>
      </c>
      <c r="I452" s="1">
        <v>0</v>
      </c>
      <c r="J452" s="1">
        <f t="shared" si="51"/>
        <v>0</v>
      </c>
    </row>
    <row r="453" spans="1:10">
      <c r="A453" s="1" t="s">
        <v>26</v>
      </c>
      <c r="B453" s="1" t="str">
        <f>"王欢"</f>
        <v>王欢</v>
      </c>
      <c r="C453" s="1" t="str">
        <f>"男"</f>
        <v>男</v>
      </c>
      <c r="D453" s="1" t="str">
        <f t="shared" si="54"/>
        <v>汉族</v>
      </c>
      <c r="E453" s="1" t="str">
        <f>"15062162015"</f>
        <v>15062162015</v>
      </c>
      <c r="F453" s="1">
        <v>20</v>
      </c>
      <c r="G453" s="1">
        <v>15</v>
      </c>
      <c r="H453" s="5">
        <v>0</v>
      </c>
      <c r="I453" s="1">
        <v>0</v>
      </c>
      <c r="J453" s="1">
        <f t="shared" si="51"/>
        <v>0</v>
      </c>
    </row>
    <row r="454" spans="1:10">
      <c r="A454" s="1" t="s">
        <v>27</v>
      </c>
      <c r="B454" s="1" t="str">
        <f>"刘欣浩"</f>
        <v>刘欣浩</v>
      </c>
      <c r="C454" s="1" t="str">
        <f>"男"</f>
        <v>男</v>
      </c>
      <c r="D454" s="1" t="str">
        <f t="shared" si="54"/>
        <v>汉族</v>
      </c>
      <c r="E454" s="1" t="str">
        <f>"15062172016"</f>
        <v>15062172016</v>
      </c>
      <c r="F454" s="1">
        <v>20</v>
      </c>
      <c r="G454" s="1">
        <v>16</v>
      </c>
      <c r="H454" s="5">
        <v>78</v>
      </c>
      <c r="I454" s="1">
        <v>0</v>
      </c>
      <c r="J454" s="1">
        <f t="shared" si="51"/>
        <v>78</v>
      </c>
    </row>
    <row r="455" spans="1:10">
      <c r="A455" s="1" t="s">
        <v>27</v>
      </c>
      <c r="B455" s="1" t="str">
        <f>"陈媛媛"</f>
        <v>陈媛媛</v>
      </c>
      <c r="C455" s="1" t="str">
        <f>"女"</f>
        <v>女</v>
      </c>
      <c r="D455" s="1" t="str">
        <f t="shared" si="54"/>
        <v>汉族</v>
      </c>
      <c r="E455" s="1" t="str">
        <f>"15062172017"</f>
        <v>15062172017</v>
      </c>
      <c r="F455" s="1">
        <v>20</v>
      </c>
      <c r="G455" s="1">
        <v>17</v>
      </c>
      <c r="H455" s="5">
        <v>0</v>
      </c>
      <c r="I455" s="1">
        <v>0</v>
      </c>
      <c r="J455" s="1">
        <f t="shared" si="51"/>
        <v>0</v>
      </c>
    </row>
    <row r="456" spans="1:10">
      <c r="A456" s="1" t="s">
        <v>27</v>
      </c>
      <c r="B456" s="1" t="str">
        <f>"柳真"</f>
        <v>柳真</v>
      </c>
      <c r="C456" s="1" t="str">
        <f>"女"</f>
        <v>女</v>
      </c>
      <c r="D456" s="1" t="str">
        <f t="shared" si="54"/>
        <v>汉族</v>
      </c>
      <c r="E456" s="1" t="str">
        <f>"15062172018"</f>
        <v>15062172018</v>
      </c>
      <c r="F456" s="1">
        <v>20</v>
      </c>
      <c r="G456" s="1">
        <v>18</v>
      </c>
      <c r="H456" s="5">
        <v>0</v>
      </c>
      <c r="I456" s="1">
        <v>0</v>
      </c>
      <c r="J456" s="1">
        <f t="shared" si="51"/>
        <v>0</v>
      </c>
    </row>
    <row r="457" spans="1:10">
      <c r="A457" s="1" t="s">
        <v>27</v>
      </c>
      <c r="B457" s="1" t="str">
        <f>"吕锦明"</f>
        <v>吕锦明</v>
      </c>
      <c r="C457" s="1" t="str">
        <f>"男"</f>
        <v>男</v>
      </c>
      <c r="D457" s="1" t="str">
        <f t="shared" si="54"/>
        <v>汉族</v>
      </c>
      <c r="E457" s="1" t="str">
        <f>"15062172019"</f>
        <v>15062172019</v>
      </c>
      <c r="F457" s="1">
        <v>20</v>
      </c>
      <c r="G457" s="1">
        <v>19</v>
      </c>
      <c r="H457" s="5">
        <v>52</v>
      </c>
      <c r="I457" s="1">
        <v>0</v>
      </c>
      <c r="J457" s="1">
        <f t="shared" si="51"/>
        <v>52</v>
      </c>
    </row>
    <row r="458" spans="1:10">
      <c r="A458" s="1" t="s">
        <v>27</v>
      </c>
      <c r="B458" s="1" t="str">
        <f>"武强"</f>
        <v>武强</v>
      </c>
      <c r="C458" s="1" t="str">
        <f>"男"</f>
        <v>男</v>
      </c>
      <c r="D458" s="1" t="str">
        <f t="shared" si="54"/>
        <v>汉族</v>
      </c>
      <c r="E458" s="1" t="str">
        <f>"15062172020"</f>
        <v>15062172020</v>
      </c>
      <c r="F458" s="1">
        <v>20</v>
      </c>
      <c r="G458" s="1">
        <v>20</v>
      </c>
      <c r="H458" s="5">
        <v>58</v>
      </c>
      <c r="I458" s="1">
        <v>0</v>
      </c>
      <c r="J458" s="1">
        <f t="shared" si="51"/>
        <v>58</v>
      </c>
    </row>
    <row r="459" spans="1:10">
      <c r="A459" s="1" t="s">
        <v>27</v>
      </c>
      <c r="B459" s="1" t="str">
        <f>"董雨婷"</f>
        <v>董雨婷</v>
      </c>
      <c r="C459" s="1" t="str">
        <f>"女"</f>
        <v>女</v>
      </c>
      <c r="D459" s="1" t="str">
        <f t="shared" si="54"/>
        <v>汉族</v>
      </c>
      <c r="E459" s="1" t="str">
        <f>"15062172021"</f>
        <v>15062172021</v>
      </c>
      <c r="F459" s="1">
        <v>20</v>
      </c>
      <c r="G459" s="1">
        <v>21</v>
      </c>
      <c r="H459" s="5">
        <v>49</v>
      </c>
      <c r="I459" s="1">
        <v>0</v>
      </c>
      <c r="J459" s="1">
        <f t="shared" si="51"/>
        <v>49</v>
      </c>
    </row>
    <row r="460" spans="1:10">
      <c r="A460" s="1" t="s">
        <v>27</v>
      </c>
      <c r="B460" s="1" t="str">
        <f>"郝元莘"</f>
        <v>郝元莘</v>
      </c>
      <c r="C460" s="1" t="str">
        <f>"女"</f>
        <v>女</v>
      </c>
      <c r="D460" s="1" t="str">
        <f t="shared" si="54"/>
        <v>汉族</v>
      </c>
      <c r="E460" s="1" t="str">
        <f>"15062172022"</f>
        <v>15062172022</v>
      </c>
      <c r="F460" s="1">
        <v>20</v>
      </c>
      <c r="G460" s="1">
        <v>22</v>
      </c>
      <c r="H460" s="5">
        <v>59</v>
      </c>
      <c r="I460" s="1">
        <v>0</v>
      </c>
      <c r="J460" s="1">
        <f t="shared" si="51"/>
        <v>59</v>
      </c>
    </row>
    <row r="461" spans="1:10">
      <c r="A461" s="1" t="s">
        <v>27</v>
      </c>
      <c r="B461" s="1" t="str">
        <f>"康亚卓"</f>
        <v>康亚卓</v>
      </c>
      <c r="C461" s="1" t="str">
        <f>"男"</f>
        <v>男</v>
      </c>
      <c r="D461" s="1" t="str">
        <f t="shared" si="54"/>
        <v>汉族</v>
      </c>
      <c r="E461" s="1" t="str">
        <f>"15062172023"</f>
        <v>15062172023</v>
      </c>
      <c r="F461" s="1">
        <v>20</v>
      </c>
      <c r="G461" s="1">
        <v>23</v>
      </c>
      <c r="H461" s="5">
        <v>58</v>
      </c>
      <c r="I461" s="1">
        <v>0</v>
      </c>
      <c r="J461" s="1">
        <f t="shared" si="51"/>
        <v>58</v>
      </c>
    </row>
    <row r="462" spans="1:10">
      <c r="A462" s="1" t="s">
        <v>27</v>
      </c>
      <c r="B462" s="1" t="str">
        <f>"白杰"</f>
        <v>白杰</v>
      </c>
      <c r="C462" s="1" t="str">
        <f>"男"</f>
        <v>男</v>
      </c>
      <c r="D462" s="1" t="str">
        <f t="shared" si="54"/>
        <v>汉族</v>
      </c>
      <c r="E462" s="1" t="str">
        <f>"15062172024"</f>
        <v>15062172024</v>
      </c>
      <c r="F462" s="1">
        <v>20</v>
      </c>
      <c r="G462" s="1">
        <v>24</v>
      </c>
      <c r="H462" s="5">
        <v>0</v>
      </c>
      <c r="I462" s="1">
        <v>0</v>
      </c>
      <c r="J462" s="1">
        <f t="shared" si="51"/>
        <v>0</v>
      </c>
    </row>
    <row r="463" spans="1:10">
      <c r="A463" s="1" t="s">
        <v>27</v>
      </c>
      <c r="B463" s="1" t="str">
        <f>"于凤梅"</f>
        <v>于凤梅</v>
      </c>
      <c r="C463" s="1" t="str">
        <f>"女"</f>
        <v>女</v>
      </c>
      <c r="D463" s="1" t="str">
        <f>"满族"</f>
        <v>满族</v>
      </c>
      <c r="E463" s="1" t="str">
        <f>"15062172025"</f>
        <v>15062172025</v>
      </c>
      <c r="F463" s="1">
        <v>20</v>
      </c>
      <c r="G463" s="1">
        <v>25</v>
      </c>
      <c r="H463" s="5">
        <v>44</v>
      </c>
      <c r="I463" s="1">
        <v>0</v>
      </c>
      <c r="J463" s="1">
        <f t="shared" si="51"/>
        <v>44</v>
      </c>
    </row>
    <row r="464" spans="1:10">
      <c r="A464" s="1" t="s">
        <v>27</v>
      </c>
      <c r="B464" s="1" t="str">
        <f>"贾涛"</f>
        <v>贾涛</v>
      </c>
      <c r="C464" s="1" t="str">
        <f>"男"</f>
        <v>男</v>
      </c>
      <c r="D464" s="1" t="str">
        <f>"汉族"</f>
        <v>汉族</v>
      </c>
      <c r="E464" s="1" t="str">
        <f>"15062172026"</f>
        <v>15062172026</v>
      </c>
      <c r="F464" s="1">
        <v>20</v>
      </c>
      <c r="G464" s="1">
        <v>26</v>
      </c>
      <c r="H464" s="5">
        <v>58</v>
      </c>
      <c r="I464" s="1">
        <v>0</v>
      </c>
      <c r="J464" s="1">
        <f t="shared" si="51"/>
        <v>58</v>
      </c>
    </row>
    <row r="465" spans="1:10">
      <c r="A465" s="1" t="s">
        <v>27</v>
      </c>
      <c r="B465" s="1" t="str">
        <f>"陈璐"</f>
        <v>陈璐</v>
      </c>
      <c r="C465" s="1" t="str">
        <f>"女"</f>
        <v>女</v>
      </c>
      <c r="D465" s="1" t="str">
        <f>"汉族"</f>
        <v>汉族</v>
      </c>
      <c r="E465" s="1" t="str">
        <f>"15062172027"</f>
        <v>15062172027</v>
      </c>
      <c r="F465" s="1">
        <v>20</v>
      </c>
      <c r="G465" s="1">
        <v>27</v>
      </c>
      <c r="H465" s="5">
        <v>0</v>
      </c>
      <c r="I465" s="1">
        <v>0</v>
      </c>
      <c r="J465" s="1">
        <f t="shared" si="51"/>
        <v>0</v>
      </c>
    </row>
    <row r="466" spans="1:10">
      <c r="A466" s="1" t="s">
        <v>27</v>
      </c>
      <c r="B466" s="1" t="str">
        <f>"张慧珍"</f>
        <v>张慧珍</v>
      </c>
      <c r="C466" s="1" t="str">
        <f>"女"</f>
        <v>女</v>
      </c>
      <c r="D466" s="1" t="str">
        <f>"汉族"</f>
        <v>汉族</v>
      </c>
      <c r="E466" s="1" t="str">
        <f>"15062172028"</f>
        <v>15062172028</v>
      </c>
      <c r="F466" s="1">
        <v>20</v>
      </c>
      <c r="G466" s="1">
        <v>28</v>
      </c>
      <c r="H466" s="5">
        <v>53</v>
      </c>
      <c r="I466" s="1">
        <v>0</v>
      </c>
      <c r="J466" s="1">
        <f t="shared" si="51"/>
        <v>53</v>
      </c>
    </row>
    <row r="467" spans="1:10">
      <c r="A467" s="1" t="s">
        <v>27</v>
      </c>
      <c r="B467" s="1" t="str">
        <f>"阿如恒"</f>
        <v>阿如恒</v>
      </c>
      <c r="C467" s="1" t="str">
        <f>"男"</f>
        <v>男</v>
      </c>
      <c r="D467" s="1" t="str">
        <f>"蒙古族"</f>
        <v>蒙古族</v>
      </c>
      <c r="E467" s="1" t="str">
        <f>"15062172029"</f>
        <v>15062172029</v>
      </c>
      <c r="F467" s="1">
        <v>20</v>
      </c>
      <c r="G467" s="1">
        <v>29</v>
      </c>
      <c r="H467" s="5">
        <v>47</v>
      </c>
      <c r="I467" s="1">
        <v>2.5</v>
      </c>
      <c r="J467" s="1">
        <f t="shared" si="51"/>
        <v>49.5</v>
      </c>
    </row>
    <row r="468" spans="1:10">
      <c r="A468" s="1" t="s">
        <v>27</v>
      </c>
      <c r="B468" s="1" t="str">
        <f>"丁璐"</f>
        <v>丁璐</v>
      </c>
      <c r="C468" s="1" t="str">
        <f t="shared" ref="C468:C489" si="55">"女"</f>
        <v>女</v>
      </c>
      <c r="D468" s="1" t="str">
        <f>"汉族"</f>
        <v>汉族</v>
      </c>
      <c r="E468" s="1" t="str">
        <f>"15062172030"</f>
        <v>15062172030</v>
      </c>
      <c r="F468" s="1">
        <v>20</v>
      </c>
      <c r="G468" s="1">
        <v>30</v>
      </c>
      <c r="H468" s="5">
        <v>59</v>
      </c>
      <c r="I468" s="1">
        <v>0</v>
      </c>
      <c r="J468" s="1">
        <f t="shared" si="51"/>
        <v>59</v>
      </c>
    </row>
    <row r="469" spans="1:10">
      <c r="A469" s="1" t="s">
        <v>27</v>
      </c>
      <c r="B469" s="1" t="str">
        <f>"娜布其玛"</f>
        <v>娜布其玛</v>
      </c>
      <c r="C469" s="1" t="str">
        <f t="shared" si="55"/>
        <v>女</v>
      </c>
      <c r="D469" s="1" t="str">
        <f>"蒙古族"</f>
        <v>蒙古族</v>
      </c>
      <c r="E469" s="1" t="str">
        <f>"15062172101"</f>
        <v>15062172101</v>
      </c>
      <c r="F469" s="1">
        <v>21</v>
      </c>
      <c r="G469" s="1">
        <v>1</v>
      </c>
      <c r="H469" s="5">
        <v>0</v>
      </c>
      <c r="I469" s="1">
        <v>0</v>
      </c>
      <c r="J469" s="1">
        <f t="shared" si="51"/>
        <v>0</v>
      </c>
    </row>
    <row r="470" spans="1:10">
      <c r="A470" s="1" t="s">
        <v>27</v>
      </c>
      <c r="B470" s="1" t="str">
        <f>"庄晓敏"</f>
        <v>庄晓敏</v>
      </c>
      <c r="C470" s="1" t="str">
        <f t="shared" si="55"/>
        <v>女</v>
      </c>
      <c r="D470" s="1" t="str">
        <f t="shared" ref="D470:D475" si="56">"汉族"</f>
        <v>汉族</v>
      </c>
      <c r="E470" s="1" t="str">
        <f>"15062172102"</f>
        <v>15062172102</v>
      </c>
      <c r="F470" s="1">
        <v>21</v>
      </c>
      <c r="G470" s="1">
        <v>2</v>
      </c>
      <c r="H470" s="5">
        <v>51</v>
      </c>
      <c r="I470" s="1">
        <v>0</v>
      </c>
      <c r="J470" s="1">
        <f t="shared" si="51"/>
        <v>51</v>
      </c>
    </row>
    <row r="471" spans="1:10">
      <c r="A471" s="1" t="s">
        <v>27</v>
      </c>
      <c r="B471" s="1" t="str">
        <f>"吕芙伶"</f>
        <v>吕芙伶</v>
      </c>
      <c r="C471" s="1" t="str">
        <f t="shared" si="55"/>
        <v>女</v>
      </c>
      <c r="D471" s="1" t="str">
        <f t="shared" si="56"/>
        <v>汉族</v>
      </c>
      <c r="E471" s="1" t="str">
        <f>"15062172103"</f>
        <v>15062172103</v>
      </c>
      <c r="F471" s="1">
        <v>21</v>
      </c>
      <c r="G471" s="1">
        <v>3</v>
      </c>
      <c r="H471" s="5">
        <v>0</v>
      </c>
      <c r="I471" s="1">
        <v>0</v>
      </c>
      <c r="J471" s="1">
        <f t="shared" si="51"/>
        <v>0</v>
      </c>
    </row>
    <row r="472" spans="1:10">
      <c r="A472" s="1" t="s">
        <v>27</v>
      </c>
      <c r="B472" s="1" t="str">
        <f>"白芳"</f>
        <v>白芳</v>
      </c>
      <c r="C472" s="1" t="str">
        <f t="shared" si="55"/>
        <v>女</v>
      </c>
      <c r="D472" s="1" t="str">
        <f t="shared" si="56"/>
        <v>汉族</v>
      </c>
      <c r="E472" s="1" t="str">
        <f>"15062172104"</f>
        <v>15062172104</v>
      </c>
      <c r="F472" s="1">
        <v>21</v>
      </c>
      <c r="G472" s="1">
        <v>4</v>
      </c>
      <c r="H472" s="5">
        <v>0</v>
      </c>
      <c r="I472" s="1">
        <v>0</v>
      </c>
      <c r="J472" s="1">
        <f t="shared" si="51"/>
        <v>0</v>
      </c>
    </row>
    <row r="473" spans="1:10">
      <c r="A473" s="1" t="s">
        <v>27</v>
      </c>
      <c r="B473" s="1" t="str">
        <f>"宋丽芳"</f>
        <v>宋丽芳</v>
      </c>
      <c r="C473" s="1" t="str">
        <f t="shared" si="55"/>
        <v>女</v>
      </c>
      <c r="D473" s="1" t="str">
        <f t="shared" si="56"/>
        <v>汉族</v>
      </c>
      <c r="E473" s="1" t="str">
        <f>"15062172105"</f>
        <v>15062172105</v>
      </c>
      <c r="F473" s="1">
        <v>21</v>
      </c>
      <c r="G473" s="1">
        <v>5</v>
      </c>
      <c r="H473" s="5">
        <v>62</v>
      </c>
      <c r="I473" s="1">
        <v>0</v>
      </c>
      <c r="J473" s="1">
        <f t="shared" ref="J473:J536" si="57">H473+I473</f>
        <v>62</v>
      </c>
    </row>
    <row r="474" spans="1:10">
      <c r="A474" s="1" t="s">
        <v>27</v>
      </c>
      <c r="B474" s="1" t="str">
        <f>"尚玲丽"</f>
        <v>尚玲丽</v>
      </c>
      <c r="C474" s="1" t="str">
        <f t="shared" si="55"/>
        <v>女</v>
      </c>
      <c r="D474" s="1" t="str">
        <f t="shared" si="56"/>
        <v>汉族</v>
      </c>
      <c r="E474" s="1" t="str">
        <f>"15062172106"</f>
        <v>15062172106</v>
      </c>
      <c r="F474" s="1">
        <v>21</v>
      </c>
      <c r="G474" s="1">
        <v>6</v>
      </c>
      <c r="H474" s="5">
        <v>52</v>
      </c>
      <c r="I474" s="1">
        <v>0</v>
      </c>
      <c r="J474" s="1">
        <f t="shared" si="57"/>
        <v>52</v>
      </c>
    </row>
    <row r="475" spans="1:10">
      <c r="A475" s="1" t="s">
        <v>27</v>
      </c>
      <c r="B475" s="1" t="str">
        <f>"武玉凤"</f>
        <v>武玉凤</v>
      </c>
      <c r="C475" s="1" t="str">
        <f t="shared" si="55"/>
        <v>女</v>
      </c>
      <c r="D475" s="1" t="str">
        <f t="shared" si="56"/>
        <v>汉族</v>
      </c>
      <c r="E475" s="1" t="str">
        <f>"15062172107"</f>
        <v>15062172107</v>
      </c>
      <c r="F475" s="1">
        <v>21</v>
      </c>
      <c r="G475" s="1">
        <v>7</v>
      </c>
      <c r="H475" s="5">
        <v>61</v>
      </c>
      <c r="I475" s="1">
        <v>0</v>
      </c>
      <c r="J475" s="1">
        <f t="shared" si="57"/>
        <v>61</v>
      </c>
    </row>
    <row r="476" spans="1:10">
      <c r="A476" s="1" t="s">
        <v>27</v>
      </c>
      <c r="B476" s="1" t="str">
        <f>"海星"</f>
        <v>海星</v>
      </c>
      <c r="C476" s="1" t="str">
        <f t="shared" si="55"/>
        <v>女</v>
      </c>
      <c r="D476" s="1" t="str">
        <f>"蒙古族"</f>
        <v>蒙古族</v>
      </c>
      <c r="E476" s="1" t="str">
        <f>"15062172108"</f>
        <v>15062172108</v>
      </c>
      <c r="F476" s="1">
        <v>21</v>
      </c>
      <c r="G476" s="1">
        <v>8</v>
      </c>
      <c r="H476" s="5">
        <v>0</v>
      </c>
      <c r="I476" s="1">
        <v>0</v>
      </c>
      <c r="J476" s="1">
        <f t="shared" si="57"/>
        <v>0</v>
      </c>
    </row>
    <row r="477" spans="1:10">
      <c r="A477" s="1" t="s">
        <v>27</v>
      </c>
      <c r="B477" s="1" t="str">
        <f>"媛芸"</f>
        <v>媛芸</v>
      </c>
      <c r="C477" s="1" t="str">
        <f t="shared" si="55"/>
        <v>女</v>
      </c>
      <c r="D477" s="1" t="str">
        <f>"蒙古族"</f>
        <v>蒙古族</v>
      </c>
      <c r="E477" s="1" t="str">
        <f>"15062172109"</f>
        <v>15062172109</v>
      </c>
      <c r="F477" s="1">
        <v>21</v>
      </c>
      <c r="G477" s="1">
        <v>9</v>
      </c>
      <c r="H477" s="5">
        <v>58</v>
      </c>
      <c r="I477" s="1">
        <v>2.5</v>
      </c>
      <c r="J477" s="1">
        <f t="shared" si="57"/>
        <v>60.5</v>
      </c>
    </row>
    <row r="478" spans="1:10">
      <c r="A478" s="1" t="s">
        <v>27</v>
      </c>
      <c r="B478" s="1" t="str">
        <f>"王静"</f>
        <v>王静</v>
      </c>
      <c r="C478" s="1" t="str">
        <f t="shared" si="55"/>
        <v>女</v>
      </c>
      <c r="D478" s="1" t="str">
        <f t="shared" ref="D478:D483" si="58">"汉族"</f>
        <v>汉族</v>
      </c>
      <c r="E478" s="1" t="str">
        <f>"15062172110"</f>
        <v>15062172110</v>
      </c>
      <c r="F478" s="1">
        <v>21</v>
      </c>
      <c r="G478" s="1">
        <v>10</v>
      </c>
      <c r="H478" s="5">
        <v>80</v>
      </c>
      <c r="I478" s="1">
        <v>0</v>
      </c>
      <c r="J478" s="1">
        <f t="shared" si="57"/>
        <v>80</v>
      </c>
    </row>
    <row r="479" spans="1:10">
      <c r="A479" s="1" t="s">
        <v>27</v>
      </c>
      <c r="B479" s="1" t="str">
        <f>"李晓娟"</f>
        <v>李晓娟</v>
      </c>
      <c r="C479" s="1" t="str">
        <f t="shared" si="55"/>
        <v>女</v>
      </c>
      <c r="D479" s="1" t="str">
        <f t="shared" si="58"/>
        <v>汉族</v>
      </c>
      <c r="E479" s="1" t="str">
        <f>"15062172111"</f>
        <v>15062172111</v>
      </c>
      <c r="F479" s="1">
        <v>21</v>
      </c>
      <c r="G479" s="1">
        <v>11</v>
      </c>
      <c r="H479" s="5">
        <v>51</v>
      </c>
      <c r="I479" s="1">
        <v>0</v>
      </c>
      <c r="J479" s="1">
        <f t="shared" si="57"/>
        <v>51</v>
      </c>
    </row>
    <row r="480" spans="1:10">
      <c r="A480" s="1" t="s">
        <v>27</v>
      </c>
      <c r="B480" s="1" t="str">
        <f>"王引弟"</f>
        <v>王引弟</v>
      </c>
      <c r="C480" s="1" t="str">
        <f t="shared" si="55"/>
        <v>女</v>
      </c>
      <c r="D480" s="1" t="str">
        <f t="shared" si="58"/>
        <v>汉族</v>
      </c>
      <c r="E480" s="1" t="str">
        <f>"15062172112"</f>
        <v>15062172112</v>
      </c>
      <c r="F480" s="1">
        <v>21</v>
      </c>
      <c r="G480" s="1">
        <v>12</v>
      </c>
      <c r="H480" s="5">
        <v>0</v>
      </c>
      <c r="I480" s="1">
        <v>0</v>
      </c>
      <c r="J480" s="1">
        <f t="shared" si="57"/>
        <v>0</v>
      </c>
    </row>
    <row r="481" spans="1:10">
      <c r="A481" s="1" t="s">
        <v>27</v>
      </c>
      <c r="B481" s="1" t="str">
        <f>"苏媛媛"</f>
        <v>苏媛媛</v>
      </c>
      <c r="C481" s="1" t="str">
        <f t="shared" si="55"/>
        <v>女</v>
      </c>
      <c r="D481" s="1" t="str">
        <f t="shared" si="58"/>
        <v>汉族</v>
      </c>
      <c r="E481" s="1" t="str">
        <f>"15062172113"</f>
        <v>15062172113</v>
      </c>
      <c r="F481" s="1">
        <v>21</v>
      </c>
      <c r="G481" s="1">
        <v>13</v>
      </c>
      <c r="H481" s="5">
        <v>53</v>
      </c>
      <c r="I481" s="1">
        <v>0</v>
      </c>
      <c r="J481" s="1">
        <f t="shared" si="57"/>
        <v>53</v>
      </c>
    </row>
    <row r="482" spans="1:10">
      <c r="A482" s="1" t="s">
        <v>27</v>
      </c>
      <c r="B482" s="1" t="str">
        <f>"方圆"</f>
        <v>方圆</v>
      </c>
      <c r="C482" s="1" t="str">
        <f t="shared" si="55"/>
        <v>女</v>
      </c>
      <c r="D482" s="1" t="str">
        <f t="shared" si="58"/>
        <v>汉族</v>
      </c>
      <c r="E482" s="1" t="str">
        <f>"15062172114"</f>
        <v>15062172114</v>
      </c>
      <c r="F482" s="1">
        <v>21</v>
      </c>
      <c r="G482" s="1">
        <v>14</v>
      </c>
      <c r="H482" s="5">
        <v>0</v>
      </c>
      <c r="I482" s="1">
        <v>0</v>
      </c>
      <c r="J482" s="1">
        <f t="shared" si="57"/>
        <v>0</v>
      </c>
    </row>
    <row r="483" spans="1:10">
      <c r="A483" s="1" t="s">
        <v>27</v>
      </c>
      <c r="B483" s="1" t="str">
        <f>"白游"</f>
        <v>白游</v>
      </c>
      <c r="C483" s="1" t="str">
        <f t="shared" si="55"/>
        <v>女</v>
      </c>
      <c r="D483" s="1" t="str">
        <f t="shared" si="58"/>
        <v>汉族</v>
      </c>
      <c r="E483" s="1" t="str">
        <f>"15062172115"</f>
        <v>15062172115</v>
      </c>
      <c r="F483" s="1">
        <v>21</v>
      </c>
      <c r="G483" s="1">
        <v>15</v>
      </c>
      <c r="H483" s="5">
        <v>0</v>
      </c>
      <c r="I483" s="1">
        <v>0</v>
      </c>
      <c r="J483" s="1">
        <f t="shared" si="57"/>
        <v>0</v>
      </c>
    </row>
    <row r="484" spans="1:10">
      <c r="A484" s="1" t="s">
        <v>27</v>
      </c>
      <c r="B484" s="1" t="str">
        <f>"谷荣荣"</f>
        <v>谷荣荣</v>
      </c>
      <c r="C484" s="1" t="str">
        <f t="shared" si="55"/>
        <v>女</v>
      </c>
      <c r="D484" s="1" t="str">
        <f>"蒙古族"</f>
        <v>蒙古族</v>
      </c>
      <c r="E484" s="1" t="str">
        <f>"15062172116"</f>
        <v>15062172116</v>
      </c>
      <c r="F484" s="1">
        <v>21</v>
      </c>
      <c r="G484" s="1">
        <v>16</v>
      </c>
      <c r="H484" s="5">
        <v>63</v>
      </c>
      <c r="I484" s="1">
        <v>2.5</v>
      </c>
      <c r="J484" s="1">
        <f t="shared" si="57"/>
        <v>65.5</v>
      </c>
    </row>
    <row r="485" spans="1:10">
      <c r="A485" s="1" t="s">
        <v>27</v>
      </c>
      <c r="B485" s="1" t="str">
        <f>"高媛"</f>
        <v>高媛</v>
      </c>
      <c r="C485" s="1" t="str">
        <f t="shared" si="55"/>
        <v>女</v>
      </c>
      <c r="D485" s="1" t="str">
        <f>"汉族"</f>
        <v>汉族</v>
      </c>
      <c r="E485" s="1" t="str">
        <f>"15062172117"</f>
        <v>15062172117</v>
      </c>
      <c r="F485" s="1">
        <v>21</v>
      </c>
      <c r="G485" s="1">
        <v>17</v>
      </c>
      <c r="H485" s="5">
        <v>0</v>
      </c>
      <c r="I485" s="1">
        <v>0</v>
      </c>
      <c r="J485" s="1">
        <f t="shared" si="57"/>
        <v>0</v>
      </c>
    </row>
    <row r="486" spans="1:10">
      <c r="A486" s="1" t="s">
        <v>28</v>
      </c>
      <c r="B486" s="1" t="str">
        <f>"李阳"</f>
        <v>李阳</v>
      </c>
      <c r="C486" s="1" t="str">
        <f t="shared" si="55"/>
        <v>女</v>
      </c>
      <c r="D486" s="1" t="str">
        <f>"汉族"</f>
        <v>汉族</v>
      </c>
      <c r="E486" s="1" t="str">
        <f>"15062182118"</f>
        <v>15062182118</v>
      </c>
      <c r="F486" s="1">
        <v>21</v>
      </c>
      <c r="G486" s="1">
        <v>18</v>
      </c>
      <c r="H486" s="5">
        <v>0</v>
      </c>
      <c r="I486" s="1">
        <v>0</v>
      </c>
      <c r="J486" s="1">
        <f t="shared" si="57"/>
        <v>0</v>
      </c>
    </row>
    <row r="487" spans="1:10">
      <c r="A487" s="1" t="s">
        <v>28</v>
      </c>
      <c r="B487" s="1" t="str">
        <f>"高优罕"</f>
        <v>高优罕</v>
      </c>
      <c r="C487" s="1" t="str">
        <f t="shared" si="55"/>
        <v>女</v>
      </c>
      <c r="D487" s="1" t="str">
        <f>"蒙古族"</f>
        <v>蒙古族</v>
      </c>
      <c r="E487" s="1" t="str">
        <f>"15062182119"</f>
        <v>15062182119</v>
      </c>
      <c r="F487" s="1">
        <v>21</v>
      </c>
      <c r="G487" s="1">
        <v>19</v>
      </c>
      <c r="H487" s="5">
        <v>48</v>
      </c>
      <c r="I487" s="1">
        <v>2.5</v>
      </c>
      <c r="J487" s="1">
        <f t="shared" si="57"/>
        <v>50.5</v>
      </c>
    </row>
    <row r="488" spans="1:10">
      <c r="A488" s="1" t="s">
        <v>28</v>
      </c>
      <c r="B488" s="1" t="str">
        <f>"张姣"</f>
        <v>张姣</v>
      </c>
      <c r="C488" s="1" t="str">
        <f t="shared" si="55"/>
        <v>女</v>
      </c>
      <c r="D488" s="1" t="str">
        <f t="shared" ref="D488:D499" si="59">"汉族"</f>
        <v>汉族</v>
      </c>
      <c r="E488" s="1" t="str">
        <f>"15062182120"</f>
        <v>15062182120</v>
      </c>
      <c r="F488" s="1">
        <v>21</v>
      </c>
      <c r="G488" s="1">
        <v>20</v>
      </c>
      <c r="H488" s="5">
        <v>43</v>
      </c>
      <c r="I488" s="1">
        <v>0</v>
      </c>
      <c r="J488" s="1">
        <f t="shared" si="57"/>
        <v>43</v>
      </c>
    </row>
    <row r="489" spans="1:10">
      <c r="A489" s="1" t="s">
        <v>28</v>
      </c>
      <c r="B489" s="1" t="str">
        <f>"乔爱华"</f>
        <v>乔爱华</v>
      </c>
      <c r="C489" s="1" t="str">
        <f t="shared" si="55"/>
        <v>女</v>
      </c>
      <c r="D489" s="1" t="str">
        <f t="shared" si="59"/>
        <v>汉族</v>
      </c>
      <c r="E489" s="1" t="str">
        <f>"15062182121"</f>
        <v>15062182121</v>
      </c>
      <c r="F489" s="1">
        <v>21</v>
      </c>
      <c r="G489" s="1">
        <v>21</v>
      </c>
      <c r="H489" s="5">
        <v>0</v>
      </c>
      <c r="I489" s="1">
        <v>0</v>
      </c>
      <c r="J489" s="1">
        <f t="shared" si="57"/>
        <v>0</v>
      </c>
    </row>
    <row r="490" spans="1:10">
      <c r="A490" s="1" t="s">
        <v>28</v>
      </c>
      <c r="B490" s="1" t="str">
        <f>"杜国庆"</f>
        <v>杜国庆</v>
      </c>
      <c r="C490" s="1" t="str">
        <f>"男"</f>
        <v>男</v>
      </c>
      <c r="D490" s="1" t="str">
        <f t="shared" si="59"/>
        <v>汉族</v>
      </c>
      <c r="E490" s="1" t="str">
        <f>"15062182122"</f>
        <v>15062182122</v>
      </c>
      <c r="F490" s="1">
        <v>21</v>
      </c>
      <c r="G490" s="1">
        <v>22</v>
      </c>
      <c r="H490" s="5">
        <v>0</v>
      </c>
      <c r="I490" s="1">
        <v>0</v>
      </c>
      <c r="J490" s="1">
        <f t="shared" si="57"/>
        <v>0</v>
      </c>
    </row>
    <row r="491" spans="1:10">
      <c r="A491" s="1" t="s">
        <v>28</v>
      </c>
      <c r="B491" s="1" t="str">
        <f>"高慧婷"</f>
        <v>高慧婷</v>
      </c>
      <c r="C491" s="1" t="str">
        <f t="shared" ref="C491:C497" si="60">"女"</f>
        <v>女</v>
      </c>
      <c r="D491" s="1" t="str">
        <f t="shared" si="59"/>
        <v>汉族</v>
      </c>
      <c r="E491" s="1" t="str">
        <f>"15062182123"</f>
        <v>15062182123</v>
      </c>
      <c r="F491" s="1">
        <v>21</v>
      </c>
      <c r="G491" s="1">
        <v>23</v>
      </c>
      <c r="H491" s="5">
        <v>61</v>
      </c>
      <c r="I491" s="1">
        <v>0</v>
      </c>
      <c r="J491" s="1">
        <f t="shared" si="57"/>
        <v>61</v>
      </c>
    </row>
    <row r="492" spans="1:10">
      <c r="A492" s="1" t="s">
        <v>28</v>
      </c>
      <c r="B492" s="1" t="str">
        <f>"王兰"</f>
        <v>王兰</v>
      </c>
      <c r="C492" s="1" t="str">
        <f t="shared" si="60"/>
        <v>女</v>
      </c>
      <c r="D492" s="1" t="str">
        <f t="shared" si="59"/>
        <v>汉族</v>
      </c>
      <c r="E492" s="1" t="str">
        <f>"15062182124"</f>
        <v>15062182124</v>
      </c>
      <c r="F492" s="1">
        <v>21</v>
      </c>
      <c r="G492" s="1">
        <v>24</v>
      </c>
      <c r="H492" s="5">
        <v>0</v>
      </c>
      <c r="I492" s="1">
        <v>0</v>
      </c>
      <c r="J492" s="1">
        <f t="shared" si="57"/>
        <v>0</v>
      </c>
    </row>
    <row r="493" spans="1:10">
      <c r="A493" s="1" t="s">
        <v>28</v>
      </c>
      <c r="B493" s="1" t="str">
        <f>"赵妤婕"</f>
        <v>赵妤婕</v>
      </c>
      <c r="C493" s="1" t="str">
        <f t="shared" si="60"/>
        <v>女</v>
      </c>
      <c r="D493" s="1" t="str">
        <f t="shared" si="59"/>
        <v>汉族</v>
      </c>
      <c r="E493" s="1" t="str">
        <f>"15062182125"</f>
        <v>15062182125</v>
      </c>
      <c r="F493" s="1">
        <v>21</v>
      </c>
      <c r="G493" s="1">
        <v>25</v>
      </c>
      <c r="H493" s="5">
        <v>0</v>
      </c>
      <c r="I493" s="1">
        <v>0</v>
      </c>
      <c r="J493" s="1">
        <f t="shared" si="57"/>
        <v>0</v>
      </c>
    </row>
    <row r="494" spans="1:10">
      <c r="A494" s="1" t="s">
        <v>28</v>
      </c>
      <c r="B494" s="1" t="str">
        <f>"李娜"</f>
        <v>李娜</v>
      </c>
      <c r="C494" s="1" t="str">
        <f t="shared" si="60"/>
        <v>女</v>
      </c>
      <c r="D494" s="1" t="str">
        <f t="shared" si="59"/>
        <v>汉族</v>
      </c>
      <c r="E494" s="1" t="str">
        <f>"15062182126"</f>
        <v>15062182126</v>
      </c>
      <c r="F494" s="1">
        <v>21</v>
      </c>
      <c r="G494" s="1">
        <v>26</v>
      </c>
      <c r="H494" s="5">
        <v>47</v>
      </c>
      <c r="I494" s="1">
        <v>0</v>
      </c>
      <c r="J494" s="1">
        <f t="shared" si="57"/>
        <v>47</v>
      </c>
    </row>
    <row r="495" spans="1:10">
      <c r="A495" s="1" t="s">
        <v>28</v>
      </c>
      <c r="B495" s="1" t="str">
        <f>"孙英花"</f>
        <v>孙英花</v>
      </c>
      <c r="C495" s="1" t="str">
        <f t="shared" si="60"/>
        <v>女</v>
      </c>
      <c r="D495" s="1" t="str">
        <f t="shared" si="59"/>
        <v>汉族</v>
      </c>
      <c r="E495" s="1" t="str">
        <f>"15062182127"</f>
        <v>15062182127</v>
      </c>
      <c r="F495" s="1">
        <v>21</v>
      </c>
      <c r="G495" s="1">
        <v>27</v>
      </c>
      <c r="H495" s="5">
        <v>0</v>
      </c>
      <c r="I495" s="1">
        <v>0</v>
      </c>
      <c r="J495" s="1">
        <f t="shared" si="57"/>
        <v>0</v>
      </c>
    </row>
    <row r="496" spans="1:10">
      <c r="A496" s="1" t="s">
        <v>28</v>
      </c>
      <c r="B496" s="1" t="str">
        <f>"袁乐"</f>
        <v>袁乐</v>
      </c>
      <c r="C496" s="1" t="str">
        <f t="shared" si="60"/>
        <v>女</v>
      </c>
      <c r="D496" s="1" t="str">
        <f t="shared" si="59"/>
        <v>汉族</v>
      </c>
      <c r="E496" s="1" t="str">
        <f>"15062182128"</f>
        <v>15062182128</v>
      </c>
      <c r="F496" s="1">
        <v>21</v>
      </c>
      <c r="G496" s="1">
        <v>28</v>
      </c>
      <c r="H496" s="5">
        <v>0</v>
      </c>
      <c r="I496" s="1">
        <v>0</v>
      </c>
      <c r="J496" s="1">
        <f t="shared" si="57"/>
        <v>0</v>
      </c>
    </row>
    <row r="497" spans="1:10">
      <c r="A497" s="1" t="s">
        <v>28</v>
      </c>
      <c r="B497" s="1" t="str">
        <f>"张旭"</f>
        <v>张旭</v>
      </c>
      <c r="C497" s="1" t="str">
        <f t="shared" si="60"/>
        <v>女</v>
      </c>
      <c r="D497" s="1" t="str">
        <f t="shared" si="59"/>
        <v>汉族</v>
      </c>
      <c r="E497" s="1" t="str">
        <f>"15062182129"</f>
        <v>15062182129</v>
      </c>
      <c r="F497" s="1">
        <v>21</v>
      </c>
      <c r="G497" s="1">
        <v>29</v>
      </c>
      <c r="H497" s="5">
        <v>46</v>
      </c>
      <c r="I497" s="1">
        <v>0</v>
      </c>
      <c r="J497" s="1">
        <f t="shared" si="57"/>
        <v>46</v>
      </c>
    </row>
    <row r="498" spans="1:10">
      <c r="A498" s="1" t="s">
        <v>28</v>
      </c>
      <c r="B498" s="1" t="str">
        <f>"孙毅"</f>
        <v>孙毅</v>
      </c>
      <c r="C498" s="1" t="str">
        <f>"男"</f>
        <v>男</v>
      </c>
      <c r="D498" s="1" t="str">
        <f t="shared" si="59"/>
        <v>汉族</v>
      </c>
      <c r="E498" s="1" t="str">
        <f>"15062182130"</f>
        <v>15062182130</v>
      </c>
      <c r="F498" s="1">
        <v>21</v>
      </c>
      <c r="G498" s="1">
        <v>30</v>
      </c>
      <c r="H498" s="5">
        <v>41</v>
      </c>
      <c r="I498" s="1">
        <v>0</v>
      </c>
      <c r="J498" s="1">
        <f t="shared" si="57"/>
        <v>41</v>
      </c>
    </row>
    <row r="499" spans="1:10">
      <c r="A499" s="1" t="s">
        <v>28</v>
      </c>
      <c r="B499" s="1" t="str">
        <f>"苏瑶"</f>
        <v>苏瑶</v>
      </c>
      <c r="C499" s="1" t="str">
        <f>"女"</f>
        <v>女</v>
      </c>
      <c r="D499" s="1" t="str">
        <f t="shared" si="59"/>
        <v>汉族</v>
      </c>
      <c r="E499" s="1" t="str">
        <f>"15062182201"</f>
        <v>15062182201</v>
      </c>
      <c r="F499" s="1">
        <v>22</v>
      </c>
      <c r="G499" s="1">
        <v>1</v>
      </c>
      <c r="H499" s="5">
        <v>0</v>
      </c>
      <c r="I499" s="1">
        <v>0</v>
      </c>
      <c r="J499" s="1">
        <f t="shared" si="57"/>
        <v>0</v>
      </c>
    </row>
    <row r="500" spans="1:10">
      <c r="A500" s="1" t="s">
        <v>28</v>
      </c>
      <c r="B500" s="1" t="str">
        <f>"戴安明"</f>
        <v>戴安明</v>
      </c>
      <c r="C500" s="1" t="str">
        <f>"男"</f>
        <v>男</v>
      </c>
      <c r="D500" s="1" t="str">
        <f>"蒙古族"</f>
        <v>蒙古族</v>
      </c>
      <c r="E500" s="1" t="str">
        <f>"15062182202"</f>
        <v>15062182202</v>
      </c>
      <c r="F500" s="1">
        <v>22</v>
      </c>
      <c r="G500" s="1">
        <v>2</v>
      </c>
      <c r="H500" s="5">
        <v>33</v>
      </c>
      <c r="I500" s="1">
        <v>2.5</v>
      </c>
      <c r="J500" s="1">
        <f t="shared" si="57"/>
        <v>35.5</v>
      </c>
    </row>
    <row r="501" spans="1:10">
      <c r="A501" s="1" t="s">
        <v>28</v>
      </c>
      <c r="B501" s="1" t="str">
        <f>"王安娜"</f>
        <v>王安娜</v>
      </c>
      <c r="C501" s="1" t="str">
        <f>"女"</f>
        <v>女</v>
      </c>
      <c r="D501" s="1" t="str">
        <f t="shared" ref="D501:D509" si="61">"汉族"</f>
        <v>汉族</v>
      </c>
      <c r="E501" s="1" t="str">
        <f>"15062182203"</f>
        <v>15062182203</v>
      </c>
      <c r="F501" s="1">
        <v>22</v>
      </c>
      <c r="G501" s="1">
        <v>3</v>
      </c>
      <c r="H501" s="5">
        <v>82</v>
      </c>
      <c r="I501" s="1">
        <v>0</v>
      </c>
      <c r="J501" s="1">
        <f t="shared" si="57"/>
        <v>82</v>
      </c>
    </row>
    <row r="502" spans="1:10">
      <c r="A502" s="1" t="s">
        <v>28</v>
      </c>
      <c r="B502" s="1" t="str">
        <f>"李翠英"</f>
        <v>李翠英</v>
      </c>
      <c r="C502" s="1" t="str">
        <f>"女"</f>
        <v>女</v>
      </c>
      <c r="D502" s="1" t="str">
        <f t="shared" si="61"/>
        <v>汉族</v>
      </c>
      <c r="E502" s="1" t="str">
        <f>"15062182204"</f>
        <v>15062182204</v>
      </c>
      <c r="F502" s="1">
        <v>22</v>
      </c>
      <c r="G502" s="1">
        <v>4</v>
      </c>
      <c r="H502" s="5">
        <v>85</v>
      </c>
      <c r="I502" s="1">
        <v>0</v>
      </c>
      <c r="J502" s="1">
        <f t="shared" si="57"/>
        <v>85</v>
      </c>
    </row>
    <row r="503" spans="1:10">
      <c r="A503" s="1" t="s">
        <v>28</v>
      </c>
      <c r="B503" s="1" t="str">
        <f>"郭智通"</f>
        <v>郭智通</v>
      </c>
      <c r="C503" s="1" t="str">
        <f>"男"</f>
        <v>男</v>
      </c>
      <c r="D503" s="1" t="str">
        <f t="shared" si="61"/>
        <v>汉族</v>
      </c>
      <c r="E503" s="1" t="str">
        <f>"15062182205"</f>
        <v>15062182205</v>
      </c>
      <c r="F503" s="1">
        <v>22</v>
      </c>
      <c r="G503" s="1">
        <v>5</v>
      </c>
      <c r="H503" s="5">
        <v>53</v>
      </c>
      <c r="I503" s="1">
        <v>0</v>
      </c>
      <c r="J503" s="1">
        <f t="shared" si="57"/>
        <v>53</v>
      </c>
    </row>
    <row r="504" spans="1:10">
      <c r="A504" s="1" t="s">
        <v>28</v>
      </c>
      <c r="B504" s="1" t="str">
        <f>"尚进亭"</f>
        <v>尚进亭</v>
      </c>
      <c r="C504" s="1" t="str">
        <f>"男"</f>
        <v>男</v>
      </c>
      <c r="D504" s="1" t="str">
        <f t="shared" si="61"/>
        <v>汉族</v>
      </c>
      <c r="E504" s="1" t="str">
        <f>"15062182206"</f>
        <v>15062182206</v>
      </c>
      <c r="F504" s="1">
        <v>22</v>
      </c>
      <c r="G504" s="1">
        <v>6</v>
      </c>
      <c r="H504" s="5">
        <v>42</v>
      </c>
      <c r="I504" s="1">
        <v>0</v>
      </c>
      <c r="J504" s="1">
        <f t="shared" si="57"/>
        <v>42</v>
      </c>
    </row>
    <row r="505" spans="1:10">
      <c r="A505" s="1" t="s">
        <v>28</v>
      </c>
      <c r="B505" s="1" t="str">
        <f>"蔺蓉"</f>
        <v>蔺蓉</v>
      </c>
      <c r="C505" s="1" t="str">
        <f>"女"</f>
        <v>女</v>
      </c>
      <c r="D505" s="1" t="str">
        <f t="shared" si="61"/>
        <v>汉族</v>
      </c>
      <c r="E505" s="1" t="str">
        <f>"15062182207"</f>
        <v>15062182207</v>
      </c>
      <c r="F505" s="1">
        <v>22</v>
      </c>
      <c r="G505" s="1">
        <v>7</v>
      </c>
      <c r="H505" s="5">
        <v>0</v>
      </c>
      <c r="I505" s="1">
        <v>0</v>
      </c>
      <c r="J505" s="1">
        <f t="shared" si="57"/>
        <v>0</v>
      </c>
    </row>
    <row r="506" spans="1:10">
      <c r="A506" s="1" t="s">
        <v>28</v>
      </c>
      <c r="B506" s="1" t="str">
        <f>"李彩霞"</f>
        <v>李彩霞</v>
      </c>
      <c r="C506" s="1" t="str">
        <f>"女"</f>
        <v>女</v>
      </c>
      <c r="D506" s="1" t="str">
        <f t="shared" si="61"/>
        <v>汉族</v>
      </c>
      <c r="E506" s="1" t="str">
        <f>"15062182208"</f>
        <v>15062182208</v>
      </c>
      <c r="F506" s="1">
        <v>22</v>
      </c>
      <c r="G506" s="1">
        <v>8</v>
      </c>
      <c r="H506" s="5">
        <v>0</v>
      </c>
      <c r="I506" s="1">
        <v>0</v>
      </c>
      <c r="J506" s="1">
        <f t="shared" si="57"/>
        <v>0</v>
      </c>
    </row>
    <row r="507" spans="1:10">
      <c r="A507" s="1" t="s">
        <v>28</v>
      </c>
      <c r="B507" s="1" t="str">
        <f>"邱成亮"</f>
        <v>邱成亮</v>
      </c>
      <c r="C507" s="1" t="str">
        <f>"男"</f>
        <v>男</v>
      </c>
      <c r="D507" s="1" t="str">
        <f t="shared" si="61"/>
        <v>汉族</v>
      </c>
      <c r="E507" s="1" t="str">
        <f>"15062182209"</f>
        <v>15062182209</v>
      </c>
      <c r="F507" s="1">
        <v>22</v>
      </c>
      <c r="G507" s="1">
        <v>9</v>
      </c>
      <c r="H507" s="5">
        <v>49</v>
      </c>
      <c r="I507" s="1">
        <v>0</v>
      </c>
      <c r="J507" s="1">
        <f t="shared" si="57"/>
        <v>49</v>
      </c>
    </row>
    <row r="508" spans="1:10">
      <c r="A508" s="1" t="s">
        <v>28</v>
      </c>
      <c r="B508" s="1" t="str">
        <f>"卜燕霞"</f>
        <v>卜燕霞</v>
      </c>
      <c r="C508" s="1" t="str">
        <f>"女"</f>
        <v>女</v>
      </c>
      <c r="D508" s="1" t="str">
        <f t="shared" si="61"/>
        <v>汉族</v>
      </c>
      <c r="E508" s="1" t="str">
        <f>"15062182210"</f>
        <v>15062182210</v>
      </c>
      <c r="F508" s="1">
        <v>22</v>
      </c>
      <c r="G508" s="1">
        <v>10</v>
      </c>
      <c r="H508" s="5">
        <v>49</v>
      </c>
      <c r="I508" s="1">
        <v>0</v>
      </c>
      <c r="J508" s="1">
        <f t="shared" si="57"/>
        <v>49</v>
      </c>
    </row>
    <row r="509" spans="1:10">
      <c r="A509" s="1" t="s">
        <v>28</v>
      </c>
      <c r="B509" s="1" t="str">
        <f>"姬慧玉"</f>
        <v>姬慧玉</v>
      </c>
      <c r="C509" s="1" t="str">
        <f>"女"</f>
        <v>女</v>
      </c>
      <c r="D509" s="1" t="str">
        <f t="shared" si="61"/>
        <v>汉族</v>
      </c>
      <c r="E509" s="1" t="str">
        <f>"15062182211"</f>
        <v>15062182211</v>
      </c>
      <c r="F509" s="1">
        <v>22</v>
      </c>
      <c r="G509" s="1">
        <v>11</v>
      </c>
      <c r="H509" s="5">
        <v>0</v>
      </c>
      <c r="I509" s="1">
        <v>0</v>
      </c>
      <c r="J509" s="1">
        <f t="shared" si="57"/>
        <v>0</v>
      </c>
    </row>
    <row r="510" spans="1:10">
      <c r="A510" s="1" t="s">
        <v>28</v>
      </c>
      <c r="B510" s="1" t="str">
        <f>"张凯奕"</f>
        <v>张凯奕</v>
      </c>
      <c r="C510" s="1" t="str">
        <f>"男"</f>
        <v>男</v>
      </c>
      <c r="D510" s="1" t="str">
        <f>"蒙古族"</f>
        <v>蒙古族</v>
      </c>
      <c r="E510" s="1" t="str">
        <f>"15062182212"</f>
        <v>15062182212</v>
      </c>
      <c r="F510" s="1">
        <v>22</v>
      </c>
      <c r="G510" s="1">
        <v>12</v>
      </c>
      <c r="H510" s="5">
        <v>60</v>
      </c>
      <c r="I510" s="1">
        <v>2.5</v>
      </c>
      <c r="J510" s="1">
        <f t="shared" si="57"/>
        <v>62.5</v>
      </c>
    </row>
    <row r="511" spans="1:10">
      <c r="A511" s="1" t="s">
        <v>28</v>
      </c>
      <c r="B511" s="1" t="str">
        <f>"道日娜"</f>
        <v>道日娜</v>
      </c>
      <c r="C511" s="1" t="str">
        <f t="shared" ref="C511:C519" si="62">"女"</f>
        <v>女</v>
      </c>
      <c r="D511" s="1" t="str">
        <f>"蒙古族"</f>
        <v>蒙古族</v>
      </c>
      <c r="E511" s="1" t="str">
        <f>"15062182213"</f>
        <v>15062182213</v>
      </c>
      <c r="F511" s="1">
        <v>22</v>
      </c>
      <c r="G511" s="1">
        <v>13</v>
      </c>
      <c r="H511" s="5">
        <v>40</v>
      </c>
      <c r="I511" s="1">
        <v>2.5</v>
      </c>
      <c r="J511" s="1">
        <f t="shared" si="57"/>
        <v>42.5</v>
      </c>
    </row>
    <row r="512" spans="1:10">
      <c r="A512" s="1" t="s">
        <v>28</v>
      </c>
      <c r="B512" s="1" t="str">
        <f>"裴芳"</f>
        <v>裴芳</v>
      </c>
      <c r="C512" s="1" t="str">
        <f t="shared" si="62"/>
        <v>女</v>
      </c>
      <c r="D512" s="1" t="str">
        <f>"汉族"</f>
        <v>汉族</v>
      </c>
      <c r="E512" s="1" t="str">
        <f>"15062182214"</f>
        <v>15062182214</v>
      </c>
      <c r="F512" s="1">
        <v>22</v>
      </c>
      <c r="G512" s="1">
        <v>14</v>
      </c>
      <c r="H512" s="5">
        <v>0</v>
      </c>
      <c r="I512" s="1">
        <v>0</v>
      </c>
      <c r="J512" s="1">
        <f t="shared" si="57"/>
        <v>0</v>
      </c>
    </row>
    <row r="513" spans="1:10">
      <c r="A513" s="1" t="s">
        <v>28</v>
      </c>
      <c r="B513" s="1" t="str">
        <f>"李帆舒"</f>
        <v>李帆舒</v>
      </c>
      <c r="C513" s="1" t="str">
        <f t="shared" si="62"/>
        <v>女</v>
      </c>
      <c r="D513" s="1" t="str">
        <f>"汉族"</f>
        <v>汉族</v>
      </c>
      <c r="E513" s="1" t="str">
        <f>"15062182215"</f>
        <v>15062182215</v>
      </c>
      <c r="F513" s="1">
        <v>22</v>
      </c>
      <c r="G513" s="1">
        <v>15</v>
      </c>
      <c r="H513" s="5">
        <v>0</v>
      </c>
      <c r="I513" s="1">
        <v>0</v>
      </c>
      <c r="J513" s="1">
        <f t="shared" si="57"/>
        <v>0</v>
      </c>
    </row>
    <row r="514" spans="1:10">
      <c r="A514" s="1" t="s">
        <v>28</v>
      </c>
      <c r="B514" s="1" t="str">
        <f>"郭婉如"</f>
        <v>郭婉如</v>
      </c>
      <c r="C514" s="1" t="str">
        <f t="shared" si="62"/>
        <v>女</v>
      </c>
      <c r="D514" s="1" t="str">
        <f>"汉族"</f>
        <v>汉族</v>
      </c>
      <c r="E514" s="1" t="str">
        <f>"15062182216"</f>
        <v>15062182216</v>
      </c>
      <c r="F514" s="1">
        <v>22</v>
      </c>
      <c r="G514" s="1">
        <v>16</v>
      </c>
      <c r="H514" s="5">
        <v>75</v>
      </c>
      <c r="I514" s="1">
        <v>0</v>
      </c>
      <c r="J514" s="1">
        <f t="shared" si="57"/>
        <v>75</v>
      </c>
    </row>
    <row r="515" spans="1:10">
      <c r="A515" s="1" t="s">
        <v>28</v>
      </c>
      <c r="B515" s="1" t="str">
        <f>"乌仁桃格苏"</f>
        <v>乌仁桃格苏</v>
      </c>
      <c r="C515" s="1" t="str">
        <f t="shared" si="62"/>
        <v>女</v>
      </c>
      <c r="D515" s="1" t="str">
        <f>"蒙古族"</f>
        <v>蒙古族</v>
      </c>
      <c r="E515" s="1" t="str">
        <f>"15062182217"</f>
        <v>15062182217</v>
      </c>
      <c r="F515" s="1">
        <v>22</v>
      </c>
      <c r="G515" s="1">
        <v>17</v>
      </c>
      <c r="H515" s="5">
        <v>0</v>
      </c>
      <c r="I515" s="1">
        <v>0</v>
      </c>
      <c r="J515" s="1">
        <f t="shared" si="57"/>
        <v>0</v>
      </c>
    </row>
    <row r="516" spans="1:10">
      <c r="A516" s="1" t="s">
        <v>28</v>
      </c>
      <c r="B516" s="1" t="str">
        <f>"刘梨"</f>
        <v>刘梨</v>
      </c>
      <c r="C516" s="1" t="str">
        <f t="shared" si="62"/>
        <v>女</v>
      </c>
      <c r="D516" s="1" t="str">
        <f t="shared" ref="D516:D524" si="63">"汉族"</f>
        <v>汉族</v>
      </c>
      <c r="E516" s="1" t="str">
        <f>"15062182218"</f>
        <v>15062182218</v>
      </c>
      <c r="F516" s="1">
        <v>22</v>
      </c>
      <c r="G516" s="1">
        <v>18</v>
      </c>
      <c r="H516" s="5">
        <v>66</v>
      </c>
      <c r="I516" s="1">
        <v>0</v>
      </c>
      <c r="J516" s="1">
        <f t="shared" si="57"/>
        <v>66</v>
      </c>
    </row>
    <row r="517" spans="1:10">
      <c r="A517" s="1" t="s">
        <v>28</v>
      </c>
      <c r="B517" s="1" t="str">
        <f>"王丽然"</f>
        <v>王丽然</v>
      </c>
      <c r="C517" s="1" t="str">
        <f t="shared" si="62"/>
        <v>女</v>
      </c>
      <c r="D517" s="1" t="str">
        <f t="shared" si="63"/>
        <v>汉族</v>
      </c>
      <c r="E517" s="1" t="str">
        <f>"15062182219"</f>
        <v>15062182219</v>
      </c>
      <c r="F517" s="1">
        <v>22</v>
      </c>
      <c r="G517" s="1">
        <v>19</v>
      </c>
      <c r="H517" s="5">
        <v>0</v>
      </c>
      <c r="I517" s="1">
        <v>0</v>
      </c>
      <c r="J517" s="1">
        <f t="shared" si="57"/>
        <v>0</v>
      </c>
    </row>
    <row r="518" spans="1:10">
      <c r="A518" s="1" t="s">
        <v>28</v>
      </c>
      <c r="B518" s="1" t="str">
        <f>"侯舒桐"</f>
        <v>侯舒桐</v>
      </c>
      <c r="C518" s="1" t="str">
        <f t="shared" si="62"/>
        <v>女</v>
      </c>
      <c r="D518" s="1" t="str">
        <f t="shared" si="63"/>
        <v>汉族</v>
      </c>
      <c r="E518" s="1" t="str">
        <f>"15062182220"</f>
        <v>15062182220</v>
      </c>
      <c r="F518" s="1">
        <v>22</v>
      </c>
      <c r="G518" s="1">
        <v>20</v>
      </c>
      <c r="H518" s="5">
        <v>40</v>
      </c>
      <c r="I518" s="1">
        <v>0</v>
      </c>
      <c r="J518" s="1">
        <f t="shared" si="57"/>
        <v>40</v>
      </c>
    </row>
    <row r="519" spans="1:10">
      <c r="A519" s="1" t="s">
        <v>28</v>
      </c>
      <c r="B519" s="1" t="str">
        <f>"李艺新"</f>
        <v>李艺新</v>
      </c>
      <c r="C519" s="1" t="str">
        <f t="shared" si="62"/>
        <v>女</v>
      </c>
      <c r="D519" s="1" t="str">
        <f t="shared" si="63"/>
        <v>汉族</v>
      </c>
      <c r="E519" s="1" t="str">
        <f>"15062182221"</f>
        <v>15062182221</v>
      </c>
      <c r="F519" s="1">
        <v>22</v>
      </c>
      <c r="G519" s="1">
        <v>21</v>
      </c>
      <c r="H519" s="5">
        <v>49</v>
      </c>
      <c r="I519" s="1">
        <v>0</v>
      </c>
      <c r="J519" s="1">
        <f t="shared" si="57"/>
        <v>49</v>
      </c>
    </row>
    <row r="520" spans="1:10">
      <c r="A520" s="1" t="s">
        <v>28</v>
      </c>
      <c r="B520" s="1" t="str">
        <f>"孟祥飞"</f>
        <v>孟祥飞</v>
      </c>
      <c r="C520" s="1" t="str">
        <f>"男"</f>
        <v>男</v>
      </c>
      <c r="D520" s="1" t="str">
        <f t="shared" si="63"/>
        <v>汉族</v>
      </c>
      <c r="E520" s="1" t="str">
        <f>"15062182222"</f>
        <v>15062182222</v>
      </c>
      <c r="F520" s="1">
        <v>22</v>
      </c>
      <c r="G520" s="1">
        <v>22</v>
      </c>
      <c r="H520" s="5">
        <v>0</v>
      </c>
      <c r="I520" s="1">
        <v>0</v>
      </c>
      <c r="J520" s="1">
        <f t="shared" si="57"/>
        <v>0</v>
      </c>
    </row>
    <row r="521" spans="1:10">
      <c r="A521" s="1" t="s">
        <v>28</v>
      </c>
      <c r="B521" s="1" t="str">
        <f>"秦广瑞"</f>
        <v>秦广瑞</v>
      </c>
      <c r="C521" s="1" t="str">
        <f t="shared" ref="C521:C533" si="64">"女"</f>
        <v>女</v>
      </c>
      <c r="D521" s="1" t="str">
        <f t="shared" si="63"/>
        <v>汉族</v>
      </c>
      <c r="E521" s="1" t="str">
        <f>"15062182223"</f>
        <v>15062182223</v>
      </c>
      <c r="F521" s="1">
        <v>22</v>
      </c>
      <c r="G521" s="1">
        <v>23</v>
      </c>
      <c r="H521" s="5">
        <v>40</v>
      </c>
      <c r="I521" s="1">
        <v>0</v>
      </c>
      <c r="J521" s="1">
        <f t="shared" si="57"/>
        <v>40</v>
      </c>
    </row>
    <row r="522" spans="1:10">
      <c r="A522" s="1" t="s">
        <v>28</v>
      </c>
      <c r="B522" s="1" t="str">
        <f>"史虹"</f>
        <v>史虹</v>
      </c>
      <c r="C522" s="1" t="str">
        <f t="shared" si="64"/>
        <v>女</v>
      </c>
      <c r="D522" s="1" t="str">
        <f t="shared" si="63"/>
        <v>汉族</v>
      </c>
      <c r="E522" s="1" t="str">
        <f>"15062182224"</f>
        <v>15062182224</v>
      </c>
      <c r="F522" s="1">
        <v>22</v>
      </c>
      <c r="G522" s="1">
        <v>24</v>
      </c>
      <c r="H522" s="5">
        <v>0</v>
      </c>
      <c r="I522" s="1">
        <v>0</v>
      </c>
      <c r="J522" s="1">
        <f t="shared" si="57"/>
        <v>0</v>
      </c>
    </row>
    <row r="523" spans="1:10">
      <c r="A523" s="1" t="s">
        <v>28</v>
      </c>
      <c r="B523" s="1" t="str">
        <f>"李迷红"</f>
        <v>李迷红</v>
      </c>
      <c r="C523" s="1" t="str">
        <f t="shared" si="64"/>
        <v>女</v>
      </c>
      <c r="D523" s="1" t="str">
        <f t="shared" si="63"/>
        <v>汉族</v>
      </c>
      <c r="E523" s="1" t="str">
        <f>"15062182225"</f>
        <v>15062182225</v>
      </c>
      <c r="F523" s="1">
        <v>22</v>
      </c>
      <c r="G523" s="1">
        <v>25</v>
      </c>
      <c r="H523" s="5">
        <v>32</v>
      </c>
      <c r="I523" s="1">
        <v>0</v>
      </c>
      <c r="J523" s="1">
        <f t="shared" si="57"/>
        <v>32</v>
      </c>
    </row>
    <row r="524" spans="1:10">
      <c r="A524" s="1" t="s">
        <v>28</v>
      </c>
      <c r="B524" s="1" t="str">
        <f>"王慧"</f>
        <v>王慧</v>
      </c>
      <c r="C524" s="1" t="str">
        <f t="shared" si="64"/>
        <v>女</v>
      </c>
      <c r="D524" s="1" t="str">
        <f t="shared" si="63"/>
        <v>汉族</v>
      </c>
      <c r="E524" s="1" t="str">
        <f>"15062182226"</f>
        <v>15062182226</v>
      </c>
      <c r="F524" s="1">
        <v>22</v>
      </c>
      <c r="G524" s="1">
        <v>26</v>
      </c>
      <c r="H524" s="5">
        <v>39</v>
      </c>
      <c r="I524" s="1">
        <v>0</v>
      </c>
      <c r="J524" s="1">
        <f t="shared" si="57"/>
        <v>39</v>
      </c>
    </row>
    <row r="525" spans="1:10">
      <c r="A525" s="1" t="s">
        <v>28</v>
      </c>
      <c r="B525" s="1" t="str">
        <f>"黄娟"</f>
        <v>黄娟</v>
      </c>
      <c r="C525" s="1" t="str">
        <f t="shared" si="64"/>
        <v>女</v>
      </c>
      <c r="D525" s="1" t="str">
        <f>"蒙古族"</f>
        <v>蒙古族</v>
      </c>
      <c r="E525" s="1" t="str">
        <f>"15062182227"</f>
        <v>15062182227</v>
      </c>
      <c r="F525" s="1">
        <v>22</v>
      </c>
      <c r="G525" s="1">
        <v>27</v>
      </c>
      <c r="H525" s="5">
        <v>0</v>
      </c>
      <c r="I525" s="1">
        <v>0</v>
      </c>
      <c r="J525" s="1">
        <f t="shared" si="57"/>
        <v>0</v>
      </c>
    </row>
    <row r="526" spans="1:10">
      <c r="A526" s="1" t="s">
        <v>28</v>
      </c>
      <c r="B526" s="1" t="str">
        <f>"裴艳"</f>
        <v>裴艳</v>
      </c>
      <c r="C526" s="1" t="str">
        <f t="shared" si="64"/>
        <v>女</v>
      </c>
      <c r="D526" s="1" t="str">
        <f t="shared" ref="D526:D533" si="65">"汉族"</f>
        <v>汉族</v>
      </c>
      <c r="E526" s="1" t="str">
        <f>"15062182228"</f>
        <v>15062182228</v>
      </c>
      <c r="F526" s="1">
        <v>22</v>
      </c>
      <c r="G526" s="1">
        <v>28</v>
      </c>
      <c r="H526" s="5">
        <v>0</v>
      </c>
      <c r="I526" s="1">
        <v>0</v>
      </c>
      <c r="J526" s="1">
        <f t="shared" si="57"/>
        <v>0</v>
      </c>
    </row>
    <row r="527" spans="1:10">
      <c r="A527" s="1" t="s">
        <v>28</v>
      </c>
      <c r="B527" s="1" t="str">
        <f>"吕梦茹"</f>
        <v>吕梦茹</v>
      </c>
      <c r="C527" s="1" t="str">
        <f t="shared" si="64"/>
        <v>女</v>
      </c>
      <c r="D527" s="1" t="str">
        <f t="shared" si="65"/>
        <v>汉族</v>
      </c>
      <c r="E527" s="1" t="str">
        <f>"15062182229"</f>
        <v>15062182229</v>
      </c>
      <c r="F527" s="1">
        <v>22</v>
      </c>
      <c r="G527" s="1">
        <v>29</v>
      </c>
      <c r="H527" s="5">
        <v>53</v>
      </c>
      <c r="I527" s="1">
        <v>0</v>
      </c>
      <c r="J527" s="1">
        <f t="shared" si="57"/>
        <v>53</v>
      </c>
    </row>
    <row r="528" spans="1:10">
      <c r="A528" s="1" t="s">
        <v>28</v>
      </c>
      <c r="B528" s="1" t="str">
        <f>"张春霞"</f>
        <v>张春霞</v>
      </c>
      <c r="C528" s="1" t="str">
        <f t="shared" si="64"/>
        <v>女</v>
      </c>
      <c r="D528" s="1" t="str">
        <f t="shared" si="65"/>
        <v>汉族</v>
      </c>
      <c r="E528" s="1" t="str">
        <f>"15062182230"</f>
        <v>15062182230</v>
      </c>
      <c r="F528" s="1">
        <v>22</v>
      </c>
      <c r="G528" s="1">
        <v>30</v>
      </c>
      <c r="H528" s="5">
        <v>0</v>
      </c>
      <c r="I528" s="1">
        <v>0</v>
      </c>
      <c r="J528" s="1">
        <f t="shared" si="57"/>
        <v>0</v>
      </c>
    </row>
    <row r="529" spans="1:10">
      <c r="A529" s="1" t="s">
        <v>28</v>
      </c>
      <c r="B529" s="1" t="str">
        <f>"冯宝琴"</f>
        <v>冯宝琴</v>
      </c>
      <c r="C529" s="1" t="str">
        <f t="shared" si="64"/>
        <v>女</v>
      </c>
      <c r="D529" s="1" t="str">
        <f t="shared" si="65"/>
        <v>汉族</v>
      </c>
      <c r="E529" s="1" t="str">
        <f>"15062182301"</f>
        <v>15062182301</v>
      </c>
      <c r="F529" s="1">
        <v>23</v>
      </c>
      <c r="G529" s="1">
        <v>1</v>
      </c>
      <c r="H529" s="5">
        <v>53</v>
      </c>
      <c r="I529" s="1">
        <v>0</v>
      </c>
      <c r="J529" s="1">
        <f t="shared" si="57"/>
        <v>53</v>
      </c>
    </row>
    <row r="530" spans="1:10">
      <c r="A530" s="1" t="s">
        <v>28</v>
      </c>
      <c r="B530" s="1" t="str">
        <f>"王博雅"</f>
        <v>王博雅</v>
      </c>
      <c r="C530" s="1" t="str">
        <f t="shared" si="64"/>
        <v>女</v>
      </c>
      <c r="D530" s="1" t="str">
        <f t="shared" si="65"/>
        <v>汉族</v>
      </c>
      <c r="E530" s="1" t="str">
        <f>"15062182302"</f>
        <v>15062182302</v>
      </c>
      <c r="F530" s="1">
        <v>23</v>
      </c>
      <c r="G530" s="1">
        <v>2</v>
      </c>
      <c r="H530" s="5">
        <v>67</v>
      </c>
      <c r="I530" s="1">
        <v>0</v>
      </c>
      <c r="J530" s="1">
        <f t="shared" si="57"/>
        <v>67</v>
      </c>
    </row>
    <row r="531" spans="1:10">
      <c r="A531" s="1" t="s">
        <v>28</v>
      </c>
      <c r="B531" s="1" t="str">
        <f>"付小玉"</f>
        <v>付小玉</v>
      </c>
      <c r="C531" s="1" t="str">
        <f t="shared" si="64"/>
        <v>女</v>
      </c>
      <c r="D531" s="1" t="str">
        <f t="shared" si="65"/>
        <v>汉族</v>
      </c>
      <c r="E531" s="1" t="str">
        <f>"15062182303"</f>
        <v>15062182303</v>
      </c>
      <c r="F531" s="1">
        <v>23</v>
      </c>
      <c r="G531" s="1">
        <v>3</v>
      </c>
      <c r="H531" s="5">
        <v>0</v>
      </c>
      <c r="I531" s="1">
        <v>0</v>
      </c>
      <c r="J531" s="1">
        <f t="shared" si="57"/>
        <v>0</v>
      </c>
    </row>
    <row r="532" spans="1:10">
      <c r="A532" s="1" t="s">
        <v>28</v>
      </c>
      <c r="B532" s="1" t="str">
        <f>"徐嘉培"</f>
        <v>徐嘉培</v>
      </c>
      <c r="C532" s="1" t="str">
        <f t="shared" si="64"/>
        <v>女</v>
      </c>
      <c r="D532" s="1" t="str">
        <f t="shared" si="65"/>
        <v>汉族</v>
      </c>
      <c r="E532" s="1" t="str">
        <f>"15062182304"</f>
        <v>15062182304</v>
      </c>
      <c r="F532" s="1">
        <v>23</v>
      </c>
      <c r="G532" s="1">
        <v>4</v>
      </c>
      <c r="H532" s="5">
        <v>54</v>
      </c>
      <c r="I532" s="1">
        <v>0</v>
      </c>
      <c r="J532" s="1">
        <f t="shared" si="57"/>
        <v>54</v>
      </c>
    </row>
    <row r="533" spans="1:10">
      <c r="A533" s="1" t="s">
        <v>28</v>
      </c>
      <c r="B533" s="1" t="str">
        <f>"郝晓春"</f>
        <v>郝晓春</v>
      </c>
      <c r="C533" s="1" t="str">
        <f t="shared" si="64"/>
        <v>女</v>
      </c>
      <c r="D533" s="1" t="str">
        <f t="shared" si="65"/>
        <v>汉族</v>
      </c>
      <c r="E533" s="1" t="str">
        <f>"15062182305"</f>
        <v>15062182305</v>
      </c>
      <c r="F533" s="1">
        <v>23</v>
      </c>
      <c r="G533" s="1">
        <v>5</v>
      </c>
      <c r="H533" s="5">
        <v>0</v>
      </c>
      <c r="I533" s="1">
        <v>0</v>
      </c>
      <c r="J533" s="1">
        <f t="shared" si="57"/>
        <v>0</v>
      </c>
    </row>
    <row r="534" spans="1:10">
      <c r="A534" s="1" t="s">
        <v>28</v>
      </c>
      <c r="B534" s="1" t="str">
        <f>"额定达来"</f>
        <v>额定达来</v>
      </c>
      <c r="C534" s="1" t="str">
        <f>"男"</f>
        <v>男</v>
      </c>
      <c r="D534" s="1" t="str">
        <f>"蒙古族"</f>
        <v>蒙古族</v>
      </c>
      <c r="E534" s="1" t="str">
        <f>"15062182306"</f>
        <v>15062182306</v>
      </c>
      <c r="F534" s="1">
        <v>23</v>
      </c>
      <c r="G534" s="1">
        <v>6</v>
      </c>
      <c r="H534" s="5">
        <v>48</v>
      </c>
      <c r="I534" s="1">
        <v>2.5</v>
      </c>
      <c r="J534" s="1">
        <f t="shared" si="57"/>
        <v>50.5</v>
      </c>
    </row>
    <row r="535" spans="1:10">
      <c r="A535" s="1" t="s">
        <v>28</v>
      </c>
      <c r="B535" s="1" t="str">
        <f>"张亚会"</f>
        <v>张亚会</v>
      </c>
      <c r="C535" s="1" t="str">
        <f>"男"</f>
        <v>男</v>
      </c>
      <c r="D535" s="1" t="str">
        <f>"汉族"</f>
        <v>汉族</v>
      </c>
      <c r="E535" s="1" t="str">
        <f>"15062182307"</f>
        <v>15062182307</v>
      </c>
      <c r="F535" s="1">
        <v>23</v>
      </c>
      <c r="G535" s="1">
        <v>7</v>
      </c>
      <c r="H535" s="5">
        <v>0</v>
      </c>
      <c r="I535" s="1">
        <v>0</v>
      </c>
      <c r="J535" s="1">
        <f t="shared" si="57"/>
        <v>0</v>
      </c>
    </row>
    <row r="536" spans="1:10">
      <c r="A536" s="1" t="s">
        <v>28</v>
      </c>
      <c r="B536" s="1" t="str">
        <f>"王惠韬"</f>
        <v>王惠韬</v>
      </c>
      <c r="C536" s="1" t="str">
        <f>"女"</f>
        <v>女</v>
      </c>
      <c r="D536" s="1" t="str">
        <f>"汉族"</f>
        <v>汉族</v>
      </c>
      <c r="E536" s="1" t="str">
        <f>"15062182308"</f>
        <v>15062182308</v>
      </c>
      <c r="F536" s="1">
        <v>23</v>
      </c>
      <c r="G536" s="1">
        <v>8</v>
      </c>
      <c r="H536" s="5">
        <v>0</v>
      </c>
      <c r="I536" s="1">
        <v>0</v>
      </c>
      <c r="J536" s="1">
        <f t="shared" si="57"/>
        <v>0</v>
      </c>
    </row>
    <row r="537" spans="1:10">
      <c r="A537" s="1" t="s">
        <v>28</v>
      </c>
      <c r="B537" s="1" t="str">
        <f>"刘磊"</f>
        <v>刘磊</v>
      </c>
      <c r="C537" s="1" t="str">
        <f>"男"</f>
        <v>男</v>
      </c>
      <c r="D537" s="1" t="str">
        <f>"汉族"</f>
        <v>汉族</v>
      </c>
      <c r="E537" s="1" t="str">
        <f>"15062182309"</f>
        <v>15062182309</v>
      </c>
      <c r="F537" s="1">
        <v>23</v>
      </c>
      <c r="G537" s="1">
        <v>9</v>
      </c>
      <c r="H537" s="5">
        <v>0</v>
      </c>
      <c r="I537" s="1">
        <v>0</v>
      </c>
      <c r="J537" s="1">
        <f t="shared" ref="J537:J600" si="66">H537+I537</f>
        <v>0</v>
      </c>
    </row>
    <row r="538" spans="1:10">
      <c r="A538" s="1" t="s">
        <v>28</v>
      </c>
      <c r="B538" s="1" t="str">
        <f>"奇欢"</f>
        <v>奇欢</v>
      </c>
      <c r="C538" s="1" t="str">
        <f>"女"</f>
        <v>女</v>
      </c>
      <c r="D538" s="1" t="str">
        <f>"蒙古族"</f>
        <v>蒙古族</v>
      </c>
      <c r="E538" s="1" t="str">
        <f>"15062182310"</f>
        <v>15062182310</v>
      </c>
      <c r="F538" s="1">
        <v>23</v>
      </c>
      <c r="G538" s="1">
        <v>10</v>
      </c>
      <c r="H538" s="5">
        <v>43</v>
      </c>
      <c r="I538" s="1">
        <v>2.5</v>
      </c>
      <c r="J538" s="1">
        <f t="shared" si="66"/>
        <v>45.5</v>
      </c>
    </row>
    <row r="539" spans="1:10">
      <c r="A539" s="1" t="s">
        <v>28</v>
      </c>
      <c r="B539" s="1" t="str">
        <f>"张小龙"</f>
        <v>张小龙</v>
      </c>
      <c r="C539" s="1" t="str">
        <f>"男"</f>
        <v>男</v>
      </c>
      <c r="D539" s="1" t="str">
        <f>"汉族"</f>
        <v>汉族</v>
      </c>
      <c r="E539" s="1" t="str">
        <f>"15062182311"</f>
        <v>15062182311</v>
      </c>
      <c r="F539" s="1">
        <v>23</v>
      </c>
      <c r="G539" s="1">
        <v>11</v>
      </c>
      <c r="H539" s="5">
        <v>0</v>
      </c>
      <c r="I539" s="1">
        <v>0</v>
      </c>
      <c r="J539" s="1">
        <f t="shared" si="66"/>
        <v>0</v>
      </c>
    </row>
    <row r="540" spans="1:10">
      <c r="A540" s="1" t="s">
        <v>28</v>
      </c>
      <c r="B540" s="1" t="str">
        <f>"李晓艳"</f>
        <v>李晓艳</v>
      </c>
      <c r="C540" s="1" t="str">
        <f t="shared" ref="C540:C546" si="67">"女"</f>
        <v>女</v>
      </c>
      <c r="D540" s="1" t="str">
        <f>"汉族"</f>
        <v>汉族</v>
      </c>
      <c r="E540" s="1" t="str">
        <f>"15062182312"</f>
        <v>15062182312</v>
      </c>
      <c r="F540" s="1">
        <v>23</v>
      </c>
      <c r="G540" s="1">
        <v>12</v>
      </c>
      <c r="H540" s="5">
        <v>0</v>
      </c>
      <c r="I540" s="1">
        <v>0</v>
      </c>
      <c r="J540" s="1">
        <f t="shared" si="66"/>
        <v>0</v>
      </c>
    </row>
    <row r="541" spans="1:10">
      <c r="A541" s="1" t="s">
        <v>28</v>
      </c>
      <c r="B541" s="1" t="str">
        <f>"薛蓉"</f>
        <v>薛蓉</v>
      </c>
      <c r="C541" s="1" t="str">
        <f t="shared" si="67"/>
        <v>女</v>
      </c>
      <c r="D541" s="1" t="str">
        <f>"汉族"</f>
        <v>汉族</v>
      </c>
      <c r="E541" s="1" t="str">
        <f>"15062182313"</f>
        <v>15062182313</v>
      </c>
      <c r="F541" s="1">
        <v>23</v>
      </c>
      <c r="G541" s="1">
        <v>13</v>
      </c>
      <c r="H541" s="5">
        <v>0</v>
      </c>
      <c r="I541" s="1">
        <v>0</v>
      </c>
      <c r="J541" s="1">
        <f t="shared" si="66"/>
        <v>0</v>
      </c>
    </row>
    <row r="542" spans="1:10">
      <c r="A542" s="1" t="s">
        <v>28</v>
      </c>
      <c r="B542" s="1" t="str">
        <f>"陈慧"</f>
        <v>陈慧</v>
      </c>
      <c r="C542" s="1" t="str">
        <f t="shared" si="67"/>
        <v>女</v>
      </c>
      <c r="D542" s="1" t="str">
        <f>"汉族"</f>
        <v>汉族</v>
      </c>
      <c r="E542" s="1" t="str">
        <f>"15062182314"</f>
        <v>15062182314</v>
      </c>
      <c r="F542" s="1">
        <v>23</v>
      </c>
      <c r="G542" s="1">
        <v>14</v>
      </c>
      <c r="H542" s="5">
        <v>0</v>
      </c>
      <c r="I542" s="1">
        <v>0</v>
      </c>
      <c r="J542" s="1">
        <f t="shared" si="66"/>
        <v>0</v>
      </c>
    </row>
    <row r="543" spans="1:10">
      <c r="A543" s="1" t="s">
        <v>28</v>
      </c>
      <c r="B543" s="1" t="str">
        <f>"哈布尔其其格"</f>
        <v>哈布尔其其格</v>
      </c>
      <c r="C543" s="1" t="str">
        <f t="shared" si="67"/>
        <v>女</v>
      </c>
      <c r="D543" s="1" t="str">
        <f>"蒙古族"</f>
        <v>蒙古族</v>
      </c>
      <c r="E543" s="1" t="str">
        <f>"15062182315"</f>
        <v>15062182315</v>
      </c>
      <c r="F543" s="1">
        <v>23</v>
      </c>
      <c r="G543" s="1">
        <v>15</v>
      </c>
      <c r="H543" s="5">
        <v>0</v>
      </c>
      <c r="I543" s="1">
        <v>0</v>
      </c>
      <c r="J543" s="1">
        <f t="shared" si="66"/>
        <v>0</v>
      </c>
    </row>
    <row r="544" spans="1:10">
      <c r="A544" s="1" t="s">
        <v>28</v>
      </c>
      <c r="B544" s="1" t="str">
        <f>"阮晓燕"</f>
        <v>阮晓燕</v>
      </c>
      <c r="C544" s="1" t="str">
        <f t="shared" si="67"/>
        <v>女</v>
      </c>
      <c r="D544" s="1" t="str">
        <f>"汉族"</f>
        <v>汉族</v>
      </c>
      <c r="E544" s="1" t="str">
        <f>"15062182316"</f>
        <v>15062182316</v>
      </c>
      <c r="F544" s="1">
        <v>23</v>
      </c>
      <c r="G544" s="1">
        <v>16</v>
      </c>
      <c r="H544" s="5">
        <v>58</v>
      </c>
      <c r="I544" s="1">
        <v>0</v>
      </c>
      <c r="J544" s="1">
        <f t="shared" si="66"/>
        <v>58</v>
      </c>
    </row>
    <row r="545" spans="1:10">
      <c r="A545" s="1" t="s">
        <v>28</v>
      </c>
      <c r="B545" s="1" t="str">
        <f>"王霞"</f>
        <v>王霞</v>
      </c>
      <c r="C545" s="1" t="str">
        <f t="shared" si="67"/>
        <v>女</v>
      </c>
      <c r="D545" s="1" t="str">
        <f>"汉族"</f>
        <v>汉族</v>
      </c>
      <c r="E545" s="1" t="str">
        <f>"15062182317"</f>
        <v>15062182317</v>
      </c>
      <c r="F545" s="1">
        <v>23</v>
      </c>
      <c r="G545" s="1">
        <v>17</v>
      </c>
      <c r="H545" s="5">
        <v>45</v>
      </c>
      <c r="I545" s="1">
        <v>0</v>
      </c>
      <c r="J545" s="1">
        <f t="shared" si="66"/>
        <v>45</v>
      </c>
    </row>
    <row r="546" spans="1:10">
      <c r="A546" s="1" t="s">
        <v>28</v>
      </c>
      <c r="B546" s="1" t="str">
        <f>"李木子"</f>
        <v>李木子</v>
      </c>
      <c r="C546" s="1" t="str">
        <f t="shared" si="67"/>
        <v>女</v>
      </c>
      <c r="D546" s="1" t="str">
        <f>"汉族"</f>
        <v>汉族</v>
      </c>
      <c r="E546" s="1" t="str">
        <f>"15062182318"</f>
        <v>15062182318</v>
      </c>
      <c r="F546" s="1">
        <v>23</v>
      </c>
      <c r="G546" s="1">
        <v>18</v>
      </c>
      <c r="H546" s="5">
        <v>53</v>
      </c>
      <c r="I546" s="1">
        <v>0</v>
      </c>
      <c r="J546" s="1">
        <f t="shared" si="66"/>
        <v>53</v>
      </c>
    </row>
    <row r="547" spans="1:10">
      <c r="A547" s="1" t="s">
        <v>28</v>
      </c>
      <c r="B547" s="1" t="str">
        <f>"张昊宇"</f>
        <v>张昊宇</v>
      </c>
      <c r="C547" s="1" t="str">
        <f>"男"</f>
        <v>男</v>
      </c>
      <c r="D547" s="1" t="str">
        <f>"汉族"</f>
        <v>汉族</v>
      </c>
      <c r="E547" s="1" t="str">
        <f>"15062182319"</f>
        <v>15062182319</v>
      </c>
      <c r="F547" s="1">
        <v>23</v>
      </c>
      <c r="G547" s="1">
        <v>19</v>
      </c>
      <c r="H547" s="5">
        <v>0</v>
      </c>
      <c r="I547" s="1">
        <v>0</v>
      </c>
      <c r="J547" s="1">
        <f t="shared" si="66"/>
        <v>0</v>
      </c>
    </row>
    <row r="548" spans="1:10">
      <c r="A548" s="1" t="s">
        <v>28</v>
      </c>
      <c r="B548" s="1" t="str">
        <f>"苏雅拉格日乐"</f>
        <v>苏雅拉格日乐</v>
      </c>
      <c r="C548" s="1" t="str">
        <f t="shared" ref="C548:C556" si="68">"女"</f>
        <v>女</v>
      </c>
      <c r="D548" s="1" t="str">
        <f>"蒙古族"</f>
        <v>蒙古族</v>
      </c>
      <c r="E548" s="1" t="str">
        <f>"15062182320"</f>
        <v>15062182320</v>
      </c>
      <c r="F548" s="1">
        <v>23</v>
      </c>
      <c r="G548" s="1">
        <v>20</v>
      </c>
      <c r="H548" s="5">
        <v>0</v>
      </c>
      <c r="I548" s="1">
        <v>0</v>
      </c>
      <c r="J548" s="1">
        <f t="shared" si="66"/>
        <v>0</v>
      </c>
    </row>
    <row r="549" spans="1:10">
      <c r="A549" s="1" t="s">
        <v>28</v>
      </c>
      <c r="B549" s="1" t="str">
        <f>"程佳楠"</f>
        <v>程佳楠</v>
      </c>
      <c r="C549" s="1" t="str">
        <f t="shared" si="68"/>
        <v>女</v>
      </c>
      <c r="D549" s="1" t="str">
        <f>"回族"</f>
        <v>回族</v>
      </c>
      <c r="E549" s="1" t="str">
        <f>"15062182321"</f>
        <v>15062182321</v>
      </c>
      <c r="F549" s="1">
        <v>23</v>
      </c>
      <c r="G549" s="1">
        <v>21</v>
      </c>
      <c r="H549" s="5">
        <v>49</v>
      </c>
      <c r="I549" s="1">
        <v>0</v>
      </c>
      <c r="J549" s="1">
        <f t="shared" si="66"/>
        <v>49</v>
      </c>
    </row>
    <row r="550" spans="1:10">
      <c r="A550" s="1" t="s">
        <v>28</v>
      </c>
      <c r="B550" s="1" t="str">
        <f>"敖迎香"</f>
        <v>敖迎香</v>
      </c>
      <c r="C550" s="1" t="str">
        <f t="shared" si="68"/>
        <v>女</v>
      </c>
      <c r="D550" s="1" t="str">
        <f>"汉族"</f>
        <v>汉族</v>
      </c>
      <c r="E550" s="1" t="str">
        <f>"15062182322"</f>
        <v>15062182322</v>
      </c>
      <c r="F550" s="1">
        <v>23</v>
      </c>
      <c r="G550" s="1">
        <v>22</v>
      </c>
      <c r="H550" s="5">
        <v>59</v>
      </c>
      <c r="I550" s="1">
        <v>0</v>
      </c>
      <c r="J550" s="1">
        <f t="shared" si="66"/>
        <v>59</v>
      </c>
    </row>
    <row r="551" spans="1:10">
      <c r="A551" s="1" t="s">
        <v>28</v>
      </c>
      <c r="B551" s="1" t="str">
        <f>"崔淼"</f>
        <v>崔淼</v>
      </c>
      <c r="C551" s="1" t="str">
        <f t="shared" si="68"/>
        <v>女</v>
      </c>
      <c r="D551" s="1" t="str">
        <f>"汉族"</f>
        <v>汉族</v>
      </c>
      <c r="E551" s="1" t="str">
        <f>"15062182323"</f>
        <v>15062182323</v>
      </c>
      <c r="F551" s="1">
        <v>23</v>
      </c>
      <c r="G551" s="1">
        <v>23</v>
      </c>
      <c r="H551" s="5">
        <v>64</v>
      </c>
      <c r="I551" s="1">
        <v>0</v>
      </c>
      <c r="J551" s="1">
        <f t="shared" si="66"/>
        <v>64</v>
      </c>
    </row>
    <row r="552" spans="1:10">
      <c r="A552" s="1" t="s">
        <v>28</v>
      </c>
      <c r="B552" s="1" t="str">
        <f>"杨博雯"</f>
        <v>杨博雯</v>
      </c>
      <c r="C552" s="1" t="str">
        <f t="shared" si="68"/>
        <v>女</v>
      </c>
      <c r="D552" s="1" t="str">
        <f>"汉族"</f>
        <v>汉族</v>
      </c>
      <c r="E552" s="1" t="str">
        <f>"15062182324"</f>
        <v>15062182324</v>
      </c>
      <c r="F552" s="1">
        <v>23</v>
      </c>
      <c r="G552" s="1">
        <v>24</v>
      </c>
      <c r="H552" s="5">
        <v>58</v>
      </c>
      <c r="I552" s="1">
        <v>0</v>
      </c>
      <c r="J552" s="1">
        <f t="shared" si="66"/>
        <v>58</v>
      </c>
    </row>
    <row r="553" spans="1:10">
      <c r="A553" s="1" t="s">
        <v>28</v>
      </c>
      <c r="B553" s="1" t="str">
        <f>"王瑞"</f>
        <v>王瑞</v>
      </c>
      <c r="C553" s="1" t="str">
        <f t="shared" si="68"/>
        <v>女</v>
      </c>
      <c r="D553" s="1" t="str">
        <f>"汉族"</f>
        <v>汉族</v>
      </c>
      <c r="E553" s="1" t="str">
        <f>"15062182325"</f>
        <v>15062182325</v>
      </c>
      <c r="F553" s="1">
        <v>23</v>
      </c>
      <c r="G553" s="1">
        <v>25</v>
      </c>
      <c r="H553" s="5">
        <v>51</v>
      </c>
      <c r="I553" s="1">
        <v>0</v>
      </c>
      <c r="J553" s="1">
        <f t="shared" si="66"/>
        <v>51</v>
      </c>
    </row>
    <row r="554" spans="1:10">
      <c r="A554" s="1" t="s">
        <v>28</v>
      </c>
      <c r="B554" s="1" t="str">
        <f>"王旭"</f>
        <v>王旭</v>
      </c>
      <c r="C554" s="1" t="str">
        <f t="shared" si="68"/>
        <v>女</v>
      </c>
      <c r="D554" s="1" t="str">
        <f>"汉族"</f>
        <v>汉族</v>
      </c>
      <c r="E554" s="1" t="str">
        <f>"15062182326"</f>
        <v>15062182326</v>
      </c>
      <c r="F554" s="1">
        <v>23</v>
      </c>
      <c r="G554" s="1">
        <v>26</v>
      </c>
      <c r="H554" s="5">
        <v>61</v>
      </c>
      <c r="I554" s="1">
        <v>0</v>
      </c>
      <c r="J554" s="1">
        <f t="shared" si="66"/>
        <v>61</v>
      </c>
    </row>
    <row r="555" spans="1:10">
      <c r="A555" s="1" t="s">
        <v>28</v>
      </c>
      <c r="B555" s="1" t="str">
        <f>"郝梦圆"</f>
        <v>郝梦圆</v>
      </c>
      <c r="C555" s="1" t="str">
        <f t="shared" si="68"/>
        <v>女</v>
      </c>
      <c r="D555" s="1" t="str">
        <f>"蒙古族"</f>
        <v>蒙古族</v>
      </c>
      <c r="E555" s="1" t="str">
        <f>"15062182327"</f>
        <v>15062182327</v>
      </c>
      <c r="F555" s="1">
        <v>23</v>
      </c>
      <c r="G555" s="1">
        <v>27</v>
      </c>
      <c r="H555" s="5">
        <v>0</v>
      </c>
      <c r="I555" s="1">
        <v>0</v>
      </c>
      <c r="J555" s="1">
        <f t="shared" si="66"/>
        <v>0</v>
      </c>
    </row>
    <row r="556" spans="1:10">
      <c r="A556" s="1" t="s">
        <v>28</v>
      </c>
      <c r="B556" s="1" t="str">
        <f>"纪晓艳"</f>
        <v>纪晓艳</v>
      </c>
      <c r="C556" s="1" t="str">
        <f t="shared" si="68"/>
        <v>女</v>
      </c>
      <c r="D556" s="1" t="str">
        <f>"汉族"</f>
        <v>汉族</v>
      </c>
      <c r="E556" s="1" t="str">
        <f>"15062182328"</f>
        <v>15062182328</v>
      </c>
      <c r="F556" s="1">
        <v>23</v>
      </c>
      <c r="G556" s="1">
        <v>28</v>
      </c>
      <c r="H556" s="5">
        <v>44</v>
      </c>
      <c r="I556" s="1">
        <v>0</v>
      </c>
      <c r="J556" s="1">
        <f t="shared" si="66"/>
        <v>44</v>
      </c>
    </row>
    <row r="557" spans="1:10">
      <c r="A557" s="1" t="s">
        <v>28</v>
      </c>
      <c r="B557" s="1" t="str">
        <f>"惠泉"</f>
        <v>惠泉</v>
      </c>
      <c r="C557" s="1" t="str">
        <f>"男"</f>
        <v>男</v>
      </c>
      <c r="D557" s="1" t="str">
        <f>"汉族"</f>
        <v>汉族</v>
      </c>
      <c r="E557" s="1" t="str">
        <f>"15062182329"</f>
        <v>15062182329</v>
      </c>
      <c r="F557" s="1">
        <v>23</v>
      </c>
      <c r="G557" s="1">
        <v>29</v>
      </c>
      <c r="H557" s="5">
        <v>0</v>
      </c>
      <c r="I557" s="1">
        <v>0</v>
      </c>
      <c r="J557" s="1">
        <f t="shared" si="66"/>
        <v>0</v>
      </c>
    </row>
    <row r="558" spans="1:10">
      <c r="A558" s="1" t="s">
        <v>28</v>
      </c>
      <c r="B558" s="1" t="str">
        <f>"王琴"</f>
        <v>王琴</v>
      </c>
      <c r="C558" s="1" t="str">
        <f>"女"</f>
        <v>女</v>
      </c>
      <c r="D558" s="1" t="str">
        <f>"汉族"</f>
        <v>汉族</v>
      </c>
      <c r="E558" s="1" t="str">
        <f>"15062182330"</f>
        <v>15062182330</v>
      </c>
      <c r="F558" s="1">
        <v>23</v>
      </c>
      <c r="G558" s="1">
        <v>30</v>
      </c>
      <c r="H558" s="5">
        <v>53</v>
      </c>
      <c r="I558" s="1">
        <v>0</v>
      </c>
      <c r="J558" s="1">
        <f t="shared" si="66"/>
        <v>53</v>
      </c>
    </row>
    <row r="559" spans="1:10">
      <c r="A559" s="1" t="s">
        <v>28</v>
      </c>
      <c r="B559" s="1" t="str">
        <f>"杨凯元"</f>
        <v>杨凯元</v>
      </c>
      <c r="C559" s="1" t="str">
        <f>"男"</f>
        <v>男</v>
      </c>
      <c r="D559" s="1" t="str">
        <f>"蒙古族"</f>
        <v>蒙古族</v>
      </c>
      <c r="E559" s="1" t="str">
        <f>"15062182401"</f>
        <v>15062182401</v>
      </c>
      <c r="F559" s="1">
        <v>24</v>
      </c>
      <c r="G559" s="1">
        <v>1</v>
      </c>
      <c r="H559" s="5">
        <v>42</v>
      </c>
      <c r="I559" s="1">
        <v>2.5</v>
      </c>
      <c r="J559" s="1">
        <f t="shared" si="66"/>
        <v>44.5</v>
      </c>
    </row>
    <row r="560" spans="1:10">
      <c r="A560" s="1" t="s">
        <v>28</v>
      </c>
      <c r="B560" s="1" t="str">
        <f>"李艺佳"</f>
        <v>李艺佳</v>
      </c>
      <c r="C560" s="1" t="str">
        <f>"女"</f>
        <v>女</v>
      </c>
      <c r="D560" s="1" t="str">
        <f t="shared" ref="D560:D570" si="69">"汉族"</f>
        <v>汉族</v>
      </c>
      <c r="E560" s="1" t="str">
        <f>"15062182402"</f>
        <v>15062182402</v>
      </c>
      <c r="F560" s="1">
        <v>24</v>
      </c>
      <c r="G560" s="1">
        <v>2</v>
      </c>
      <c r="H560" s="5">
        <v>51</v>
      </c>
      <c r="I560" s="1">
        <v>0</v>
      </c>
      <c r="J560" s="1">
        <f t="shared" si="66"/>
        <v>51</v>
      </c>
    </row>
    <row r="561" spans="1:10">
      <c r="A561" s="1" t="s">
        <v>28</v>
      </c>
      <c r="B561" s="1" t="str">
        <f>"王蓉蓉"</f>
        <v>王蓉蓉</v>
      </c>
      <c r="C561" s="1" t="str">
        <f>"女"</f>
        <v>女</v>
      </c>
      <c r="D561" s="1" t="str">
        <f t="shared" si="69"/>
        <v>汉族</v>
      </c>
      <c r="E561" s="1" t="str">
        <f>"15062182403"</f>
        <v>15062182403</v>
      </c>
      <c r="F561" s="1">
        <v>24</v>
      </c>
      <c r="G561" s="1">
        <v>3</v>
      </c>
      <c r="H561" s="5">
        <v>58</v>
      </c>
      <c r="I561" s="1">
        <v>0</v>
      </c>
      <c r="J561" s="1">
        <f t="shared" si="66"/>
        <v>58</v>
      </c>
    </row>
    <row r="562" spans="1:10">
      <c r="A562" s="1" t="s">
        <v>28</v>
      </c>
      <c r="B562" s="1" t="str">
        <f>"魏媛"</f>
        <v>魏媛</v>
      </c>
      <c r="C562" s="1" t="str">
        <f>"女"</f>
        <v>女</v>
      </c>
      <c r="D562" s="1" t="str">
        <f t="shared" si="69"/>
        <v>汉族</v>
      </c>
      <c r="E562" s="1" t="str">
        <f>"15062182404"</f>
        <v>15062182404</v>
      </c>
      <c r="F562" s="1">
        <v>24</v>
      </c>
      <c r="G562" s="1">
        <v>4</v>
      </c>
      <c r="H562" s="5">
        <v>43</v>
      </c>
      <c r="I562" s="1">
        <v>0</v>
      </c>
      <c r="J562" s="1">
        <f t="shared" si="66"/>
        <v>43</v>
      </c>
    </row>
    <row r="563" spans="1:10">
      <c r="A563" s="1" t="s">
        <v>28</v>
      </c>
      <c r="B563" s="1" t="str">
        <f>"陈容"</f>
        <v>陈容</v>
      </c>
      <c r="C563" s="1" t="str">
        <f>"女"</f>
        <v>女</v>
      </c>
      <c r="D563" s="1" t="str">
        <f t="shared" si="69"/>
        <v>汉族</v>
      </c>
      <c r="E563" s="1" t="str">
        <f>"15062182405"</f>
        <v>15062182405</v>
      </c>
      <c r="F563" s="1">
        <v>24</v>
      </c>
      <c r="G563" s="1">
        <v>5</v>
      </c>
      <c r="H563" s="5">
        <v>0</v>
      </c>
      <c r="I563" s="1">
        <v>0</v>
      </c>
      <c r="J563" s="1">
        <f t="shared" si="66"/>
        <v>0</v>
      </c>
    </row>
    <row r="564" spans="1:10">
      <c r="A564" s="1" t="s">
        <v>28</v>
      </c>
      <c r="B564" s="1" t="str">
        <f>"任柄达"</f>
        <v>任柄达</v>
      </c>
      <c r="C564" s="1" t="str">
        <f>"男"</f>
        <v>男</v>
      </c>
      <c r="D564" s="1" t="str">
        <f t="shared" si="69"/>
        <v>汉族</v>
      </c>
      <c r="E564" s="1" t="str">
        <f>"15062182406"</f>
        <v>15062182406</v>
      </c>
      <c r="F564" s="1">
        <v>24</v>
      </c>
      <c r="G564" s="1">
        <v>6</v>
      </c>
      <c r="H564" s="5">
        <v>44</v>
      </c>
      <c r="I564" s="1">
        <v>0</v>
      </c>
      <c r="J564" s="1">
        <f t="shared" si="66"/>
        <v>44</v>
      </c>
    </row>
    <row r="565" spans="1:10">
      <c r="A565" s="1" t="s">
        <v>28</v>
      </c>
      <c r="B565" s="1" t="str">
        <f>"刘钰"</f>
        <v>刘钰</v>
      </c>
      <c r="C565" s="1" t="str">
        <f>"女"</f>
        <v>女</v>
      </c>
      <c r="D565" s="1" t="str">
        <f t="shared" si="69"/>
        <v>汉族</v>
      </c>
      <c r="E565" s="1" t="str">
        <f>"15062182407"</f>
        <v>15062182407</v>
      </c>
      <c r="F565" s="1">
        <v>24</v>
      </c>
      <c r="G565" s="1">
        <v>7</v>
      </c>
      <c r="H565" s="5">
        <v>0</v>
      </c>
      <c r="I565" s="1">
        <v>0</v>
      </c>
      <c r="J565" s="1">
        <f t="shared" si="66"/>
        <v>0</v>
      </c>
    </row>
    <row r="566" spans="1:10">
      <c r="A566" s="1" t="s">
        <v>28</v>
      </c>
      <c r="B566" s="1" t="str">
        <f>"高鑫"</f>
        <v>高鑫</v>
      </c>
      <c r="C566" s="1" t="str">
        <f>"女"</f>
        <v>女</v>
      </c>
      <c r="D566" s="1" t="str">
        <f t="shared" si="69"/>
        <v>汉族</v>
      </c>
      <c r="E566" s="1" t="str">
        <f>"15062182408"</f>
        <v>15062182408</v>
      </c>
      <c r="F566" s="1">
        <v>24</v>
      </c>
      <c r="G566" s="1">
        <v>8</v>
      </c>
      <c r="H566" s="5">
        <v>65</v>
      </c>
      <c r="I566" s="1">
        <v>0</v>
      </c>
      <c r="J566" s="1">
        <f t="shared" si="66"/>
        <v>65</v>
      </c>
    </row>
    <row r="567" spans="1:10">
      <c r="A567" s="1" t="s">
        <v>28</v>
      </c>
      <c r="B567" s="1" t="str">
        <f>"苏凤智"</f>
        <v>苏凤智</v>
      </c>
      <c r="C567" s="1" t="str">
        <f>"女"</f>
        <v>女</v>
      </c>
      <c r="D567" s="1" t="str">
        <f t="shared" si="69"/>
        <v>汉族</v>
      </c>
      <c r="E567" s="1" t="str">
        <f>"15062182409"</f>
        <v>15062182409</v>
      </c>
      <c r="F567" s="1">
        <v>24</v>
      </c>
      <c r="G567" s="1">
        <v>9</v>
      </c>
      <c r="H567" s="5">
        <v>0</v>
      </c>
      <c r="I567" s="1">
        <v>0</v>
      </c>
      <c r="J567" s="1">
        <f t="shared" si="66"/>
        <v>0</v>
      </c>
    </row>
    <row r="568" spans="1:10">
      <c r="A568" s="1" t="s">
        <v>28</v>
      </c>
      <c r="B568" s="1" t="str">
        <f>"赵予韬"</f>
        <v>赵予韬</v>
      </c>
      <c r="C568" s="1" t="str">
        <f>"女"</f>
        <v>女</v>
      </c>
      <c r="D568" s="1" t="str">
        <f t="shared" si="69"/>
        <v>汉族</v>
      </c>
      <c r="E568" s="1" t="str">
        <f>"15062182410"</f>
        <v>15062182410</v>
      </c>
      <c r="F568" s="1">
        <v>24</v>
      </c>
      <c r="G568" s="1">
        <v>10</v>
      </c>
      <c r="H568" s="5">
        <v>62</v>
      </c>
      <c r="I568" s="1">
        <v>0</v>
      </c>
      <c r="J568" s="1">
        <f t="shared" si="66"/>
        <v>62</v>
      </c>
    </row>
    <row r="569" spans="1:10">
      <c r="A569" s="1" t="s">
        <v>28</v>
      </c>
      <c r="B569" s="1" t="str">
        <f>"刘雨农"</f>
        <v>刘雨农</v>
      </c>
      <c r="C569" s="1" t="str">
        <f>"男"</f>
        <v>男</v>
      </c>
      <c r="D569" s="1" t="str">
        <f t="shared" si="69"/>
        <v>汉族</v>
      </c>
      <c r="E569" s="1" t="str">
        <f>"15062182411"</f>
        <v>15062182411</v>
      </c>
      <c r="F569" s="1">
        <v>24</v>
      </c>
      <c r="G569" s="1">
        <v>11</v>
      </c>
      <c r="H569" s="5">
        <v>0</v>
      </c>
      <c r="I569" s="1">
        <v>0</v>
      </c>
      <c r="J569" s="1">
        <f t="shared" si="66"/>
        <v>0</v>
      </c>
    </row>
    <row r="570" spans="1:10">
      <c r="A570" s="1" t="s">
        <v>28</v>
      </c>
      <c r="B570" s="1" t="str">
        <f>"刘珂妍"</f>
        <v>刘珂妍</v>
      </c>
      <c r="C570" s="1" t="str">
        <f t="shared" ref="C570:C576" si="70">"女"</f>
        <v>女</v>
      </c>
      <c r="D570" s="1" t="str">
        <f t="shared" si="69"/>
        <v>汉族</v>
      </c>
      <c r="E570" s="1" t="str">
        <f>"15062182412"</f>
        <v>15062182412</v>
      </c>
      <c r="F570" s="1">
        <v>24</v>
      </c>
      <c r="G570" s="1">
        <v>12</v>
      </c>
      <c r="H570" s="5">
        <v>0</v>
      </c>
      <c r="I570" s="1">
        <v>0</v>
      </c>
      <c r="J570" s="1">
        <f t="shared" si="66"/>
        <v>0</v>
      </c>
    </row>
    <row r="571" spans="1:10">
      <c r="A571" s="1" t="s">
        <v>28</v>
      </c>
      <c r="B571" s="1" t="str">
        <f>"许秦"</f>
        <v>许秦</v>
      </c>
      <c r="C571" s="1" t="str">
        <f t="shared" si="70"/>
        <v>女</v>
      </c>
      <c r="D571" s="1" t="str">
        <f>"蒙古族"</f>
        <v>蒙古族</v>
      </c>
      <c r="E571" s="1" t="str">
        <f>"15062182413"</f>
        <v>15062182413</v>
      </c>
      <c r="F571" s="1">
        <v>24</v>
      </c>
      <c r="G571" s="1">
        <v>13</v>
      </c>
      <c r="H571" s="5">
        <v>45</v>
      </c>
      <c r="I571" s="1">
        <v>2.5</v>
      </c>
      <c r="J571" s="1">
        <f t="shared" si="66"/>
        <v>47.5</v>
      </c>
    </row>
    <row r="572" spans="1:10">
      <c r="A572" s="1" t="s">
        <v>28</v>
      </c>
      <c r="B572" s="1" t="str">
        <f>"杨娜"</f>
        <v>杨娜</v>
      </c>
      <c r="C572" s="1" t="str">
        <f t="shared" si="70"/>
        <v>女</v>
      </c>
      <c r="D572" s="1" t="str">
        <f t="shared" ref="D572:D577" si="71">"汉族"</f>
        <v>汉族</v>
      </c>
      <c r="E572" s="1" t="str">
        <f>"15062182414"</f>
        <v>15062182414</v>
      </c>
      <c r="F572" s="1">
        <v>24</v>
      </c>
      <c r="G572" s="1">
        <v>14</v>
      </c>
      <c r="H572" s="5">
        <v>0</v>
      </c>
      <c r="I572" s="1">
        <v>0</v>
      </c>
      <c r="J572" s="1">
        <f t="shared" si="66"/>
        <v>0</v>
      </c>
    </row>
    <row r="573" spans="1:10">
      <c r="A573" s="1" t="s">
        <v>28</v>
      </c>
      <c r="B573" s="1" t="str">
        <f>"苗慧"</f>
        <v>苗慧</v>
      </c>
      <c r="C573" s="1" t="str">
        <f t="shared" si="70"/>
        <v>女</v>
      </c>
      <c r="D573" s="1" t="str">
        <f t="shared" si="71"/>
        <v>汉族</v>
      </c>
      <c r="E573" s="1" t="str">
        <f>"15062182415"</f>
        <v>15062182415</v>
      </c>
      <c r="F573" s="1">
        <v>24</v>
      </c>
      <c r="G573" s="1">
        <v>15</v>
      </c>
      <c r="H573" s="5">
        <v>0</v>
      </c>
      <c r="I573" s="1">
        <v>0</v>
      </c>
      <c r="J573" s="1">
        <f t="shared" si="66"/>
        <v>0</v>
      </c>
    </row>
    <row r="574" spans="1:10">
      <c r="A574" s="1" t="s">
        <v>28</v>
      </c>
      <c r="B574" s="1" t="str">
        <f>"王娟"</f>
        <v>王娟</v>
      </c>
      <c r="C574" s="1" t="str">
        <f t="shared" si="70"/>
        <v>女</v>
      </c>
      <c r="D574" s="1" t="str">
        <f t="shared" si="71"/>
        <v>汉族</v>
      </c>
      <c r="E574" s="1" t="str">
        <f>"15062182416"</f>
        <v>15062182416</v>
      </c>
      <c r="F574" s="1">
        <v>24</v>
      </c>
      <c r="G574" s="1">
        <v>16</v>
      </c>
      <c r="H574" s="5">
        <v>0</v>
      </c>
      <c r="I574" s="1">
        <v>0</v>
      </c>
      <c r="J574" s="1">
        <f t="shared" si="66"/>
        <v>0</v>
      </c>
    </row>
    <row r="575" spans="1:10">
      <c r="A575" s="1" t="s">
        <v>28</v>
      </c>
      <c r="B575" s="1" t="str">
        <f>"赵艳妮"</f>
        <v>赵艳妮</v>
      </c>
      <c r="C575" s="1" t="str">
        <f t="shared" si="70"/>
        <v>女</v>
      </c>
      <c r="D575" s="1" t="str">
        <f t="shared" si="71"/>
        <v>汉族</v>
      </c>
      <c r="E575" s="1" t="str">
        <f>"15062182417"</f>
        <v>15062182417</v>
      </c>
      <c r="F575" s="1">
        <v>24</v>
      </c>
      <c r="G575" s="1">
        <v>17</v>
      </c>
      <c r="H575" s="5">
        <v>0</v>
      </c>
      <c r="I575" s="1">
        <v>0</v>
      </c>
      <c r="J575" s="1">
        <f t="shared" si="66"/>
        <v>0</v>
      </c>
    </row>
    <row r="576" spans="1:10">
      <c r="A576" s="1" t="s">
        <v>28</v>
      </c>
      <c r="B576" s="1" t="str">
        <f>"许慧琴"</f>
        <v>许慧琴</v>
      </c>
      <c r="C576" s="1" t="str">
        <f t="shared" si="70"/>
        <v>女</v>
      </c>
      <c r="D576" s="1" t="str">
        <f t="shared" si="71"/>
        <v>汉族</v>
      </c>
      <c r="E576" s="1" t="str">
        <f>"15062182418"</f>
        <v>15062182418</v>
      </c>
      <c r="F576" s="1">
        <v>24</v>
      </c>
      <c r="G576" s="1">
        <v>18</v>
      </c>
      <c r="H576" s="5">
        <v>51</v>
      </c>
      <c r="I576" s="1">
        <v>0</v>
      </c>
      <c r="J576" s="1">
        <f t="shared" si="66"/>
        <v>51</v>
      </c>
    </row>
    <row r="577" spans="1:10">
      <c r="A577" s="1" t="s">
        <v>28</v>
      </c>
      <c r="B577" s="1" t="str">
        <f>"白小龙"</f>
        <v>白小龙</v>
      </c>
      <c r="C577" s="1" t="str">
        <f>"男"</f>
        <v>男</v>
      </c>
      <c r="D577" s="1" t="str">
        <f t="shared" si="71"/>
        <v>汉族</v>
      </c>
      <c r="E577" s="1" t="str">
        <f>"15062182419"</f>
        <v>15062182419</v>
      </c>
      <c r="F577" s="1">
        <v>24</v>
      </c>
      <c r="G577" s="1">
        <v>19</v>
      </c>
      <c r="H577" s="5">
        <v>0</v>
      </c>
      <c r="I577" s="1">
        <v>0</v>
      </c>
      <c r="J577" s="1">
        <f t="shared" si="66"/>
        <v>0</v>
      </c>
    </row>
    <row r="578" spans="1:10">
      <c r="A578" s="1" t="s">
        <v>28</v>
      </c>
      <c r="B578" s="1" t="str">
        <f>"奇达吉雅"</f>
        <v>奇达吉雅</v>
      </c>
      <c r="C578" s="1" t="str">
        <f>"女"</f>
        <v>女</v>
      </c>
      <c r="D578" s="1" t="str">
        <f>"蒙古族"</f>
        <v>蒙古族</v>
      </c>
      <c r="E578" s="1" t="str">
        <f>"15062182420"</f>
        <v>15062182420</v>
      </c>
      <c r="F578" s="1">
        <v>24</v>
      </c>
      <c r="G578" s="1">
        <v>20</v>
      </c>
      <c r="H578" s="5">
        <v>0</v>
      </c>
      <c r="I578" s="1">
        <v>0</v>
      </c>
      <c r="J578" s="1">
        <f t="shared" si="66"/>
        <v>0</v>
      </c>
    </row>
    <row r="579" spans="1:10">
      <c r="A579" s="1" t="s">
        <v>28</v>
      </c>
      <c r="B579" s="1" t="str">
        <f>"孙婵娟"</f>
        <v>孙婵娟</v>
      </c>
      <c r="C579" s="1" t="str">
        <f>"女"</f>
        <v>女</v>
      </c>
      <c r="D579" s="1" t="str">
        <f>"满族"</f>
        <v>满族</v>
      </c>
      <c r="E579" s="1" t="str">
        <f>"15062182421"</f>
        <v>15062182421</v>
      </c>
      <c r="F579" s="1">
        <v>24</v>
      </c>
      <c r="G579" s="1">
        <v>21</v>
      </c>
      <c r="H579" s="5">
        <v>0</v>
      </c>
      <c r="I579" s="1">
        <v>0</v>
      </c>
      <c r="J579" s="1">
        <f t="shared" si="66"/>
        <v>0</v>
      </c>
    </row>
    <row r="580" spans="1:10">
      <c r="A580" s="1" t="s">
        <v>28</v>
      </c>
      <c r="B580" s="1" t="str">
        <f>"宋蕾蕾"</f>
        <v>宋蕾蕾</v>
      </c>
      <c r="C580" s="1" t="str">
        <f>"女"</f>
        <v>女</v>
      </c>
      <c r="D580" s="1" t="str">
        <f t="shared" ref="D580:D593" si="72">"汉族"</f>
        <v>汉族</v>
      </c>
      <c r="E580" s="1" t="str">
        <f>"15062182422"</f>
        <v>15062182422</v>
      </c>
      <c r="F580" s="1">
        <v>24</v>
      </c>
      <c r="G580" s="1">
        <v>22</v>
      </c>
      <c r="H580" s="5">
        <v>0</v>
      </c>
      <c r="I580" s="1">
        <v>0</v>
      </c>
      <c r="J580" s="1">
        <f t="shared" si="66"/>
        <v>0</v>
      </c>
    </row>
    <row r="581" spans="1:10">
      <c r="A581" s="1" t="s">
        <v>28</v>
      </c>
      <c r="B581" s="1" t="str">
        <f>"高彩霞"</f>
        <v>高彩霞</v>
      </c>
      <c r="C581" s="1" t="str">
        <f>"女"</f>
        <v>女</v>
      </c>
      <c r="D581" s="1" t="str">
        <f t="shared" si="72"/>
        <v>汉族</v>
      </c>
      <c r="E581" s="1" t="str">
        <f>"15062182423"</f>
        <v>15062182423</v>
      </c>
      <c r="F581" s="1">
        <v>24</v>
      </c>
      <c r="G581" s="1">
        <v>23</v>
      </c>
      <c r="H581" s="5">
        <v>47</v>
      </c>
      <c r="I581" s="1">
        <v>0</v>
      </c>
      <c r="J581" s="1">
        <f t="shared" si="66"/>
        <v>47</v>
      </c>
    </row>
    <row r="582" spans="1:10">
      <c r="A582" s="1" t="s">
        <v>28</v>
      </c>
      <c r="B582" s="1" t="str">
        <f>"张蓉蓉"</f>
        <v>张蓉蓉</v>
      </c>
      <c r="C582" s="1" t="str">
        <f>"女"</f>
        <v>女</v>
      </c>
      <c r="D582" s="1" t="str">
        <f t="shared" si="72"/>
        <v>汉族</v>
      </c>
      <c r="E582" s="1" t="str">
        <f>"15062182424"</f>
        <v>15062182424</v>
      </c>
      <c r="F582" s="1">
        <v>24</v>
      </c>
      <c r="G582" s="1">
        <v>24</v>
      </c>
      <c r="H582" s="5">
        <v>40</v>
      </c>
      <c r="I582" s="1">
        <v>0</v>
      </c>
      <c r="J582" s="1">
        <f t="shared" si="66"/>
        <v>40</v>
      </c>
    </row>
    <row r="583" spans="1:10">
      <c r="A583" s="1" t="s">
        <v>28</v>
      </c>
      <c r="B583" s="1" t="str">
        <f>"李贵"</f>
        <v>李贵</v>
      </c>
      <c r="C583" s="1" t="str">
        <f>"男"</f>
        <v>男</v>
      </c>
      <c r="D583" s="1" t="str">
        <f t="shared" si="72"/>
        <v>汉族</v>
      </c>
      <c r="E583" s="1" t="str">
        <f>"15062182425"</f>
        <v>15062182425</v>
      </c>
      <c r="F583" s="1">
        <v>24</v>
      </c>
      <c r="G583" s="1">
        <v>25</v>
      </c>
      <c r="H583" s="5">
        <v>0</v>
      </c>
      <c r="I583" s="1">
        <v>0</v>
      </c>
      <c r="J583" s="1">
        <f t="shared" si="66"/>
        <v>0</v>
      </c>
    </row>
    <row r="584" spans="1:10">
      <c r="A584" s="1" t="s">
        <v>28</v>
      </c>
      <c r="B584" s="1" t="str">
        <f>"刘羽"</f>
        <v>刘羽</v>
      </c>
      <c r="C584" s="1" t="str">
        <f>"男"</f>
        <v>男</v>
      </c>
      <c r="D584" s="1" t="str">
        <f t="shared" si="72"/>
        <v>汉族</v>
      </c>
      <c r="E584" s="1" t="str">
        <f>"15062182426"</f>
        <v>15062182426</v>
      </c>
      <c r="F584" s="1">
        <v>24</v>
      </c>
      <c r="G584" s="1">
        <v>26</v>
      </c>
      <c r="H584" s="5">
        <v>46</v>
      </c>
      <c r="I584" s="1">
        <v>0</v>
      </c>
      <c r="J584" s="1">
        <f t="shared" si="66"/>
        <v>46</v>
      </c>
    </row>
    <row r="585" spans="1:10">
      <c r="A585" s="1" t="s">
        <v>28</v>
      </c>
      <c r="B585" s="1" t="str">
        <f>"边星宇"</f>
        <v>边星宇</v>
      </c>
      <c r="C585" s="1" t="str">
        <f>"女"</f>
        <v>女</v>
      </c>
      <c r="D585" s="1" t="str">
        <f t="shared" si="72"/>
        <v>汉族</v>
      </c>
      <c r="E585" s="1" t="str">
        <f>"15062182427"</f>
        <v>15062182427</v>
      </c>
      <c r="F585" s="1">
        <v>24</v>
      </c>
      <c r="G585" s="1">
        <v>27</v>
      </c>
      <c r="H585" s="5">
        <v>44</v>
      </c>
      <c r="I585" s="1">
        <v>0</v>
      </c>
      <c r="J585" s="1">
        <f t="shared" si="66"/>
        <v>44</v>
      </c>
    </row>
    <row r="586" spans="1:10">
      <c r="A586" s="1" t="s">
        <v>28</v>
      </c>
      <c r="B586" s="1" t="str">
        <f>"贺之誉"</f>
        <v>贺之誉</v>
      </c>
      <c r="C586" s="1" t="str">
        <f>"女"</f>
        <v>女</v>
      </c>
      <c r="D586" s="1" t="str">
        <f t="shared" si="72"/>
        <v>汉族</v>
      </c>
      <c r="E586" s="1" t="str">
        <f>"15062182428"</f>
        <v>15062182428</v>
      </c>
      <c r="F586" s="1">
        <v>24</v>
      </c>
      <c r="G586" s="1">
        <v>28</v>
      </c>
      <c r="H586" s="5">
        <v>0</v>
      </c>
      <c r="I586" s="1">
        <v>0</v>
      </c>
      <c r="J586" s="1">
        <f t="shared" si="66"/>
        <v>0</v>
      </c>
    </row>
    <row r="587" spans="1:10">
      <c r="A587" s="1" t="s">
        <v>28</v>
      </c>
      <c r="B587" s="1" t="str">
        <f>"徐小平"</f>
        <v>徐小平</v>
      </c>
      <c r="C587" s="1" t="str">
        <f>"男"</f>
        <v>男</v>
      </c>
      <c r="D587" s="1" t="str">
        <f t="shared" si="72"/>
        <v>汉族</v>
      </c>
      <c r="E587" s="1" t="str">
        <f>"15062182429"</f>
        <v>15062182429</v>
      </c>
      <c r="F587" s="1">
        <v>24</v>
      </c>
      <c r="G587" s="1">
        <v>29</v>
      </c>
      <c r="H587" s="5">
        <v>0</v>
      </c>
      <c r="I587" s="1">
        <v>0</v>
      </c>
      <c r="J587" s="1">
        <f t="shared" si="66"/>
        <v>0</v>
      </c>
    </row>
    <row r="588" spans="1:10">
      <c r="A588" s="1" t="s">
        <v>28</v>
      </c>
      <c r="B588" s="1" t="str">
        <f>"刘璐璐"</f>
        <v>刘璐璐</v>
      </c>
      <c r="C588" s="1" t="str">
        <f>"女"</f>
        <v>女</v>
      </c>
      <c r="D588" s="1" t="str">
        <f t="shared" si="72"/>
        <v>汉族</v>
      </c>
      <c r="E588" s="1" t="str">
        <f>"15062182430"</f>
        <v>15062182430</v>
      </c>
      <c r="F588" s="1">
        <v>24</v>
      </c>
      <c r="G588" s="1">
        <v>30</v>
      </c>
      <c r="H588" s="5">
        <v>0</v>
      </c>
      <c r="I588" s="1">
        <v>0</v>
      </c>
      <c r="J588" s="1">
        <f t="shared" si="66"/>
        <v>0</v>
      </c>
    </row>
    <row r="589" spans="1:10">
      <c r="A589" s="1" t="s">
        <v>28</v>
      </c>
      <c r="B589" s="1" t="str">
        <f>"赵振伟"</f>
        <v>赵振伟</v>
      </c>
      <c r="C589" s="1" t="str">
        <f>"男"</f>
        <v>男</v>
      </c>
      <c r="D589" s="1" t="str">
        <f t="shared" si="72"/>
        <v>汉族</v>
      </c>
      <c r="E589" s="1" t="str">
        <f>"15062182501"</f>
        <v>15062182501</v>
      </c>
      <c r="F589" s="1">
        <v>25</v>
      </c>
      <c r="G589" s="1">
        <v>1</v>
      </c>
      <c r="H589" s="5">
        <v>0</v>
      </c>
      <c r="I589" s="1">
        <v>0</v>
      </c>
      <c r="J589" s="1">
        <f t="shared" si="66"/>
        <v>0</v>
      </c>
    </row>
    <row r="590" spans="1:10">
      <c r="A590" s="1" t="s">
        <v>28</v>
      </c>
      <c r="B590" s="1" t="str">
        <f>"杨慧"</f>
        <v>杨慧</v>
      </c>
      <c r="C590" s="1" t="str">
        <f t="shared" ref="C590:C620" si="73">"女"</f>
        <v>女</v>
      </c>
      <c r="D590" s="1" t="str">
        <f t="shared" si="72"/>
        <v>汉族</v>
      </c>
      <c r="E590" s="1" t="str">
        <f>"15062182502"</f>
        <v>15062182502</v>
      </c>
      <c r="F590" s="1">
        <v>25</v>
      </c>
      <c r="G590" s="1">
        <v>2</v>
      </c>
      <c r="H590" s="5">
        <v>45</v>
      </c>
      <c r="I590" s="1">
        <v>0</v>
      </c>
      <c r="J590" s="1">
        <f t="shared" si="66"/>
        <v>45</v>
      </c>
    </row>
    <row r="591" spans="1:10">
      <c r="A591" s="1" t="s">
        <v>28</v>
      </c>
      <c r="B591" s="1" t="str">
        <f>"蒋瑞弘"</f>
        <v>蒋瑞弘</v>
      </c>
      <c r="C591" s="1" t="str">
        <f t="shared" si="73"/>
        <v>女</v>
      </c>
      <c r="D591" s="1" t="str">
        <f t="shared" si="72"/>
        <v>汉族</v>
      </c>
      <c r="E591" s="1" t="str">
        <f>"15062182503"</f>
        <v>15062182503</v>
      </c>
      <c r="F591" s="1">
        <v>25</v>
      </c>
      <c r="G591" s="1">
        <v>3</v>
      </c>
      <c r="H591" s="5">
        <v>45</v>
      </c>
      <c r="I591" s="1">
        <v>0</v>
      </c>
      <c r="J591" s="1">
        <f t="shared" si="66"/>
        <v>45</v>
      </c>
    </row>
    <row r="592" spans="1:10">
      <c r="A592" s="1" t="s">
        <v>28</v>
      </c>
      <c r="B592" s="1" t="str">
        <f>"王敏"</f>
        <v>王敏</v>
      </c>
      <c r="C592" s="1" t="str">
        <f t="shared" si="73"/>
        <v>女</v>
      </c>
      <c r="D592" s="1" t="str">
        <f t="shared" si="72"/>
        <v>汉族</v>
      </c>
      <c r="E592" s="1" t="str">
        <f>"15062182504"</f>
        <v>15062182504</v>
      </c>
      <c r="F592" s="1">
        <v>25</v>
      </c>
      <c r="G592" s="1">
        <v>4</v>
      </c>
      <c r="H592" s="5">
        <v>0</v>
      </c>
      <c r="I592" s="1">
        <v>0</v>
      </c>
      <c r="J592" s="1">
        <f t="shared" si="66"/>
        <v>0</v>
      </c>
    </row>
    <row r="593" spans="1:10">
      <c r="A593" s="1" t="s">
        <v>28</v>
      </c>
      <c r="B593" s="1" t="str">
        <f>"李慧"</f>
        <v>李慧</v>
      </c>
      <c r="C593" s="1" t="str">
        <f t="shared" si="73"/>
        <v>女</v>
      </c>
      <c r="D593" s="1" t="str">
        <f t="shared" si="72"/>
        <v>汉族</v>
      </c>
      <c r="E593" s="1" t="str">
        <f>"15062182505"</f>
        <v>15062182505</v>
      </c>
      <c r="F593" s="1">
        <v>25</v>
      </c>
      <c r="G593" s="1">
        <v>5</v>
      </c>
      <c r="H593" s="5">
        <v>0</v>
      </c>
      <c r="I593" s="1">
        <v>0</v>
      </c>
      <c r="J593" s="1">
        <f t="shared" si="66"/>
        <v>0</v>
      </c>
    </row>
    <row r="594" spans="1:10">
      <c r="A594" s="1" t="s">
        <v>28</v>
      </c>
      <c r="B594" s="1" t="str">
        <f>"刘雨"</f>
        <v>刘雨</v>
      </c>
      <c r="C594" s="1" t="str">
        <f t="shared" si="73"/>
        <v>女</v>
      </c>
      <c r="D594" s="1" t="str">
        <f>"回族"</f>
        <v>回族</v>
      </c>
      <c r="E594" s="1" t="str">
        <f>"15062182506"</f>
        <v>15062182506</v>
      </c>
      <c r="F594" s="1">
        <v>25</v>
      </c>
      <c r="G594" s="1">
        <v>6</v>
      </c>
      <c r="H594" s="5">
        <v>60</v>
      </c>
      <c r="I594" s="1">
        <v>0</v>
      </c>
      <c r="J594" s="1">
        <f t="shared" si="66"/>
        <v>60</v>
      </c>
    </row>
    <row r="595" spans="1:10">
      <c r="A595" s="1" t="s">
        <v>28</v>
      </c>
      <c r="B595" s="1" t="str">
        <f>"任卓"</f>
        <v>任卓</v>
      </c>
      <c r="C595" s="1" t="str">
        <f t="shared" si="73"/>
        <v>女</v>
      </c>
      <c r="D595" s="1" t="str">
        <f>"汉族"</f>
        <v>汉族</v>
      </c>
      <c r="E595" s="1" t="str">
        <f>"15062182507"</f>
        <v>15062182507</v>
      </c>
      <c r="F595" s="1">
        <v>25</v>
      </c>
      <c r="G595" s="1">
        <v>7</v>
      </c>
      <c r="H595" s="5">
        <v>67</v>
      </c>
      <c r="I595" s="1">
        <v>0</v>
      </c>
      <c r="J595" s="1">
        <f t="shared" si="66"/>
        <v>67</v>
      </c>
    </row>
    <row r="596" spans="1:10">
      <c r="A596" s="1" t="s">
        <v>28</v>
      </c>
      <c r="B596" s="1" t="str">
        <f>"刘娜"</f>
        <v>刘娜</v>
      </c>
      <c r="C596" s="1" t="str">
        <f t="shared" si="73"/>
        <v>女</v>
      </c>
      <c r="D596" s="1" t="str">
        <f>"汉族"</f>
        <v>汉族</v>
      </c>
      <c r="E596" s="1" t="str">
        <f>"15062182508"</f>
        <v>15062182508</v>
      </c>
      <c r="F596" s="1">
        <v>25</v>
      </c>
      <c r="G596" s="1">
        <v>8</v>
      </c>
      <c r="H596" s="5">
        <v>80</v>
      </c>
      <c r="I596" s="1">
        <v>0</v>
      </c>
      <c r="J596" s="1">
        <f t="shared" si="66"/>
        <v>80</v>
      </c>
    </row>
    <row r="597" spans="1:10">
      <c r="A597" s="1" t="s">
        <v>28</v>
      </c>
      <c r="B597" s="1" t="str">
        <f>"李畅文"</f>
        <v>李畅文</v>
      </c>
      <c r="C597" s="1" t="str">
        <f t="shared" si="73"/>
        <v>女</v>
      </c>
      <c r="D597" s="1" t="str">
        <f>"汉族"</f>
        <v>汉族</v>
      </c>
      <c r="E597" s="1" t="str">
        <f>"15062182509"</f>
        <v>15062182509</v>
      </c>
      <c r="F597" s="1">
        <v>25</v>
      </c>
      <c r="G597" s="1">
        <v>9</v>
      </c>
      <c r="H597" s="5">
        <v>56</v>
      </c>
      <c r="I597" s="1">
        <v>0</v>
      </c>
      <c r="J597" s="1">
        <f t="shared" si="66"/>
        <v>56</v>
      </c>
    </row>
    <row r="598" spans="1:10">
      <c r="A598" s="1" t="s">
        <v>28</v>
      </c>
      <c r="B598" s="1" t="str">
        <f>"兰昕"</f>
        <v>兰昕</v>
      </c>
      <c r="C598" s="1" t="str">
        <f t="shared" si="73"/>
        <v>女</v>
      </c>
      <c r="D598" s="1" t="str">
        <f>"汉族"</f>
        <v>汉族</v>
      </c>
      <c r="E598" s="1" t="str">
        <f>"15062182510"</f>
        <v>15062182510</v>
      </c>
      <c r="F598" s="1">
        <v>25</v>
      </c>
      <c r="G598" s="1">
        <v>10</v>
      </c>
      <c r="H598" s="5">
        <v>0</v>
      </c>
      <c r="I598" s="1">
        <v>0</v>
      </c>
      <c r="J598" s="1">
        <f t="shared" si="66"/>
        <v>0</v>
      </c>
    </row>
    <row r="599" spans="1:10">
      <c r="A599" s="1" t="s">
        <v>28</v>
      </c>
      <c r="B599" s="1" t="str">
        <f>"武婷"</f>
        <v>武婷</v>
      </c>
      <c r="C599" s="1" t="str">
        <f t="shared" si="73"/>
        <v>女</v>
      </c>
      <c r="D599" s="1" t="str">
        <f>"汉族"</f>
        <v>汉族</v>
      </c>
      <c r="E599" s="1" t="str">
        <f>"15062182511"</f>
        <v>15062182511</v>
      </c>
      <c r="F599" s="1">
        <v>25</v>
      </c>
      <c r="G599" s="1">
        <v>11</v>
      </c>
      <c r="H599" s="5">
        <v>54</v>
      </c>
      <c r="I599" s="1">
        <v>0</v>
      </c>
      <c r="J599" s="1">
        <f t="shared" si="66"/>
        <v>54</v>
      </c>
    </row>
    <row r="600" spans="1:10">
      <c r="A600" s="1" t="s">
        <v>28</v>
      </c>
      <c r="B600" s="1" t="str">
        <f>"杨智"</f>
        <v>杨智</v>
      </c>
      <c r="C600" s="1" t="str">
        <f t="shared" si="73"/>
        <v>女</v>
      </c>
      <c r="D600" s="1" t="str">
        <f>"蒙古族"</f>
        <v>蒙古族</v>
      </c>
      <c r="E600" s="1" t="str">
        <f>"15062182512"</f>
        <v>15062182512</v>
      </c>
      <c r="F600" s="1">
        <v>25</v>
      </c>
      <c r="G600" s="1">
        <v>12</v>
      </c>
      <c r="H600" s="5">
        <v>47</v>
      </c>
      <c r="I600" s="1">
        <v>2.5</v>
      </c>
      <c r="J600" s="1">
        <f t="shared" si="66"/>
        <v>49.5</v>
      </c>
    </row>
    <row r="601" spans="1:10">
      <c r="A601" s="1" t="s">
        <v>28</v>
      </c>
      <c r="B601" s="1" t="str">
        <f>"李双双"</f>
        <v>李双双</v>
      </c>
      <c r="C601" s="1" t="str">
        <f t="shared" si="73"/>
        <v>女</v>
      </c>
      <c r="D601" s="1" t="str">
        <f>"蒙古族"</f>
        <v>蒙古族</v>
      </c>
      <c r="E601" s="1" t="str">
        <f>"15062182513"</f>
        <v>15062182513</v>
      </c>
      <c r="F601" s="1">
        <v>25</v>
      </c>
      <c r="G601" s="1">
        <v>13</v>
      </c>
      <c r="H601" s="5">
        <v>0</v>
      </c>
      <c r="I601" s="1">
        <v>0</v>
      </c>
      <c r="J601" s="1">
        <f t="shared" ref="J601:J664" si="74">H601+I601</f>
        <v>0</v>
      </c>
    </row>
    <row r="602" spans="1:10">
      <c r="A602" s="1" t="s">
        <v>28</v>
      </c>
      <c r="B602" s="1" t="str">
        <f>"武若云"</f>
        <v>武若云</v>
      </c>
      <c r="C602" s="1" t="str">
        <f t="shared" si="73"/>
        <v>女</v>
      </c>
      <c r="D602" s="1" t="str">
        <f t="shared" ref="D602:D609" si="75">"汉族"</f>
        <v>汉族</v>
      </c>
      <c r="E602" s="1" t="str">
        <f>"15062182514"</f>
        <v>15062182514</v>
      </c>
      <c r="F602" s="1">
        <v>25</v>
      </c>
      <c r="G602" s="1">
        <v>14</v>
      </c>
      <c r="H602" s="5">
        <v>0</v>
      </c>
      <c r="I602" s="1">
        <v>0</v>
      </c>
      <c r="J602" s="1">
        <f t="shared" si="74"/>
        <v>0</v>
      </c>
    </row>
    <row r="603" spans="1:10">
      <c r="A603" s="1" t="s">
        <v>28</v>
      </c>
      <c r="B603" s="1" t="str">
        <f>"田艳"</f>
        <v>田艳</v>
      </c>
      <c r="C603" s="1" t="str">
        <f t="shared" si="73"/>
        <v>女</v>
      </c>
      <c r="D603" s="1" t="str">
        <f t="shared" si="75"/>
        <v>汉族</v>
      </c>
      <c r="E603" s="1" t="str">
        <f>"15062182515"</f>
        <v>15062182515</v>
      </c>
      <c r="F603" s="1">
        <v>25</v>
      </c>
      <c r="G603" s="1">
        <v>15</v>
      </c>
      <c r="H603" s="5">
        <v>51</v>
      </c>
      <c r="I603" s="1">
        <v>0</v>
      </c>
      <c r="J603" s="1">
        <f t="shared" si="74"/>
        <v>51</v>
      </c>
    </row>
    <row r="604" spans="1:10">
      <c r="A604" s="1" t="s">
        <v>28</v>
      </c>
      <c r="B604" s="1" t="str">
        <f>"郭如玥"</f>
        <v>郭如玥</v>
      </c>
      <c r="C604" s="1" t="str">
        <f t="shared" si="73"/>
        <v>女</v>
      </c>
      <c r="D604" s="1" t="str">
        <f t="shared" si="75"/>
        <v>汉族</v>
      </c>
      <c r="E604" s="1" t="str">
        <f>"15062182516"</f>
        <v>15062182516</v>
      </c>
      <c r="F604" s="1">
        <v>25</v>
      </c>
      <c r="G604" s="1">
        <v>16</v>
      </c>
      <c r="H604" s="5">
        <v>61</v>
      </c>
      <c r="I604" s="1">
        <v>0</v>
      </c>
      <c r="J604" s="1">
        <f t="shared" si="74"/>
        <v>61</v>
      </c>
    </row>
    <row r="605" spans="1:10">
      <c r="A605" s="1" t="s">
        <v>28</v>
      </c>
      <c r="B605" s="1" t="str">
        <f>"王志莲"</f>
        <v>王志莲</v>
      </c>
      <c r="C605" s="1" t="str">
        <f t="shared" si="73"/>
        <v>女</v>
      </c>
      <c r="D605" s="1" t="str">
        <f t="shared" si="75"/>
        <v>汉族</v>
      </c>
      <c r="E605" s="1" t="str">
        <f>"15062182517"</f>
        <v>15062182517</v>
      </c>
      <c r="F605" s="1">
        <v>25</v>
      </c>
      <c r="G605" s="1">
        <v>17</v>
      </c>
      <c r="H605" s="5">
        <v>76</v>
      </c>
      <c r="I605" s="1">
        <v>0</v>
      </c>
      <c r="J605" s="1">
        <f t="shared" si="74"/>
        <v>76</v>
      </c>
    </row>
    <row r="606" spans="1:10">
      <c r="A606" s="1" t="s">
        <v>28</v>
      </c>
      <c r="B606" s="1" t="str">
        <f>"边腊梅"</f>
        <v>边腊梅</v>
      </c>
      <c r="C606" s="1" t="str">
        <f t="shared" si="73"/>
        <v>女</v>
      </c>
      <c r="D606" s="1" t="str">
        <f t="shared" si="75"/>
        <v>汉族</v>
      </c>
      <c r="E606" s="1" t="str">
        <f>"15062182518"</f>
        <v>15062182518</v>
      </c>
      <c r="F606" s="1">
        <v>25</v>
      </c>
      <c r="G606" s="1">
        <v>18</v>
      </c>
      <c r="H606" s="5">
        <v>69</v>
      </c>
      <c r="I606" s="1">
        <v>0</v>
      </c>
      <c r="J606" s="1">
        <f t="shared" si="74"/>
        <v>69</v>
      </c>
    </row>
    <row r="607" spans="1:10">
      <c r="A607" s="1" t="s">
        <v>28</v>
      </c>
      <c r="B607" s="1" t="str">
        <f>"杨宏艳"</f>
        <v>杨宏艳</v>
      </c>
      <c r="C607" s="1" t="str">
        <f t="shared" si="73"/>
        <v>女</v>
      </c>
      <c r="D607" s="1" t="str">
        <f t="shared" si="75"/>
        <v>汉族</v>
      </c>
      <c r="E607" s="1" t="str">
        <f>"15062182519"</f>
        <v>15062182519</v>
      </c>
      <c r="F607" s="1">
        <v>25</v>
      </c>
      <c r="G607" s="1">
        <v>19</v>
      </c>
      <c r="H607" s="5">
        <v>52</v>
      </c>
      <c r="I607" s="1">
        <v>0</v>
      </c>
      <c r="J607" s="1">
        <f t="shared" si="74"/>
        <v>52</v>
      </c>
    </row>
    <row r="608" spans="1:10">
      <c r="A608" s="1" t="s">
        <v>28</v>
      </c>
      <c r="B608" s="1" t="str">
        <f>"李欣"</f>
        <v>李欣</v>
      </c>
      <c r="C608" s="1" t="str">
        <f t="shared" si="73"/>
        <v>女</v>
      </c>
      <c r="D608" s="1" t="str">
        <f t="shared" si="75"/>
        <v>汉族</v>
      </c>
      <c r="E608" s="1" t="str">
        <f>"15062182520"</f>
        <v>15062182520</v>
      </c>
      <c r="F608" s="1">
        <v>25</v>
      </c>
      <c r="G608" s="1">
        <v>20</v>
      </c>
      <c r="H608" s="5">
        <v>0</v>
      </c>
      <c r="I608" s="1">
        <v>0</v>
      </c>
      <c r="J608" s="1">
        <f t="shared" si="74"/>
        <v>0</v>
      </c>
    </row>
    <row r="609" spans="1:10">
      <c r="A609" s="1" t="s">
        <v>28</v>
      </c>
      <c r="B609" s="1" t="str">
        <f>"武丽霞"</f>
        <v>武丽霞</v>
      </c>
      <c r="C609" s="1" t="str">
        <f t="shared" si="73"/>
        <v>女</v>
      </c>
      <c r="D609" s="1" t="str">
        <f t="shared" si="75"/>
        <v>汉族</v>
      </c>
      <c r="E609" s="1" t="str">
        <f>"15062182521"</f>
        <v>15062182521</v>
      </c>
      <c r="F609" s="1">
        <v>25</v>
      </c>
      <c r="G609" s="1">
        <v>21</v>
      </c>
      <c r="H609" s="5">
        <v>0</v>
      </c>
      <c r="I609" s="1">
        <v>0</v>
      </c>
      <c r="J609" s="1">
        <f t="shared" si="74"/>
        <v>0</v>
      </c>
    </row>
    <row r="610" spans="1:10">
      <c r="A610" s="1" t="s">
        <v>28</v>
      </c>
      <c r="B610" s="1" t="str">
        <f>"王丽莉"</f>
        <v>王丽莉</v>
      </c>
      <c r="C610" s="1" t="str">
        <f t="shared" si="73"/>
        <v>女</v>
      </c>
      <c r="D610" s="1" t="str">
        <f>"蒙古族"</f>
        <v>蒙古族</v>
      </c>
      <c r="E610" s="1" t="str">
        <f>"15062182522"</f>
        <v>15062182522</v>
      </c>
      <c r="F610" s="1">
        <v>25</v>
      </c>
      <c r="G610" s="1">
        <v>22</v>
      </c>
      <c r="H610" s="5">
        <v>75</v>
      </c>
      <c r="I610" s="1">
        <v>2.5</v>
      </c>
      <c r="J610" s="1">
        <f t="shared" si="74"/>
        <v>77.5</v>
      </c>
    </row>
    <row r="611" spans="1:10">
      <c r="A611" s="1" t="s">
        <v>28</v>
      </c>
      <c r="B611" s="1" t="str">
        <f>"宋晓燕"</f>
        <v>宋晓燕</v>
      </c>
      <c r="C611" s="1" t="str">
        <f t="shared" si="73"/>
        <v>女</v>
      </c>
      <c r="D611" s="1" t="str">
        <f>"汉族"</f>
        <v>汉族</v>
      </c>
      <c r="E611" s="1" t="str">
        <f>"15062182523"</f>
        <v>15062182523</v>
      </c>
      <c r="F611" s="1">
        <v>25</v>
      </c>
      <c r="G611" s="1">
        <v>23</v>
      </c>
      <c r="H611" s="5">
        <v>50</v>
      </c>
      <c r="I611" s="1">
        <v>0</v>
      </c>
      <c r="J611" s="1">
        <f t="shared" si="74"/>
        <v>50</v>
      </c>
    </row>
    <row r="612" spans="1:10">
      <c r="A612" s="1" t="s">
        <v>28</v>
      </c>
      <c r="B612" s="1" t="str">
        <f>"冯婷"</f>
        <v>冯婷</v>
      </c>
      <c r="C612" s="1" t="str">
        <f t="shared" si="73"/>
        <v>女</v>
      </c>
      <c r="D612" s="1" t="str">
        <f>"汉族"</f>
        <v>汉族</v>
      </c>
      <c r="E612" s="1" t="str">
        <f>"15062182524"</f>
        <v>15062182524</v>
      </c>
      <c r="F612" s="1">
        <v>25</v>
      </c>
      <c r="G612" s="1">
        <v>24</v>
      </c>
      <c r="H612" s="5">
        <v>53</v>
      </c>
      <c r="I612" s="1">
        <v>0</v>
      </c>
      <c r="J612" s="1">
        <f t="shared" si="74"/>
        <v>53</v>
      </c>
    </row>
    <row r="613" spans="1:10">
      <c r="A613" s="1" t="s">
        <v>28</v>
      </c>
      <c r="B613" s="1" t="str">
        <f>"畅敏"</f>
        <v>畅敏</v>
      </c>
      <c r="C613" s="1" t="str">
        <f t="shared" si="73"/>
        <v>女</v>
      </c>
      <c r="D613" s="1" t="str">
        <f>"汉族"</f>
        <v>汉族</v>
      </c>
      <c r="E613" s="1" t="str">
        <f>"15062182525"</f>
        <v>15062182525</v>
      </c>
      <c r="F613" s="1">
        <v>25</v>
      </c>
      <c r="G613" s="1">
        <v>25</v>
      </c>
      <c r="H613" s="5">
        <v>0</v>
      </c>
      <c r="I613" s="1">
        <v>0</v>
      </c>
      <c r="J613" s="1">
        <f t="shared" si="74"/>
        <v>0</v>
      </c>
    </row>
    <row r="614" spans="1:10">
      <c r="A614" s="1" t="s">
        <v>28</v>
      </c>
      <c r="B614" s="1" t="str">
        <f>"袁丽"</f>
        <v>袁丽</v>
      </c>
      <c r="C614" s="1" t="str">
        <f t="shared" si="73"/>
        <v>女</v>
      </c>
      <c r="D614" s="1" t="str">
        <f>"汉族"</f>
        <v>汉族</v>
      </c>
      <c r="E614" s="1" t="str">
        <f>"15062182526"</f>
        <v>15062182526</v>
      </c>
      <c r="F614" s="1">
        <v>25</v>
      </c>
      <c r="G614" s="1">
        <v>26</v>
      </c>
      <c r="H614" s="5">
        <v>45</v>
      </c>
      <c r="I614" s="1">
        <v>0</v>
      </c>
      <c r="J614" s="1">
        <f t="shared" si="74"/>
        <v>45</v>
      </c>
    </row>
    <row r="615" spans="1:10">
      <c r="A615" s="1" t="s">
        <v>28</v>
      </c>
      <c r="B615" s="1" t="str">
        <f>"周卓毓"</f>
        <v>周卓毓</v>
      </c>
      <c r="C615" s="1" t="str">
        <f t="shared" si="73"/>
        <v>女</v>
      </c>
      <c r="D615" s="1" t="str">
        <f>"汉族"</f>
        <v>汉族</v>
      </c>
      <c r="E615" s="1" t="str">
        <f>"15062182527"</f>
        <v>15062182527</v>
      </c>
      <c r="F615" s="1">
        <v>25</v>
      </c>
      <c r="G615" s="1">
        <v>27</v>
      </c>
      <c r="H615" s="5">
        <v>64</v>
      </c>
      <c r="I615" s="1">
        <v>0</v>
      </c>
      <c r="J615" s="1">
        <f t="shared" si="74"/>
        <v>64</v>
      </c>
    </row>
    <row r="616" spans="1:10">
      <c r="A616" s="1" t="s">
        <v>28</v>
      </c>
      <c r="B616" s="1" t="str">
        <f>"王晓燕"</f>
        <v>王晓燕</v>
      </c>
      <c r="C616" s="1" t="str">
        <f t="shared" si="73"/>
        <v>女</v>
      </c>
      <c r="D616" s="1" t="str">
        <f>"蒙古族"</f>
        <v>蒙古族</v>
      </c>
      <c r="E616" s="1" t="str">
        <f>"15062182528"</f>
        <v>15062182528</v>
      </c>
      <c r="F616" s="1">
        <v>25</v>
      </c>
      <c r="G616" s="1">
        <v>28</v>
      </c>
      <c r="H616" s="5">
        <v>58</v>
      </c>
      <c r="I616" s="1">
        <v>2.5</v>
      </c>
      <c r="J616" s="1">
        <f t="shared" si="74"/>
        <v>60.5</v>
      </c>
    </row>
    <row r="617" spans="1:10">
      <c r="A617" s="1" t="s">
        <v>28</v>
      </c>
      <c r="B617" s="1" t="str">
        <f>"周欣怡"</f>
        <v>周欣怡</v>
      </c>
      <c r="C617" s="1" t="str">
        <f t="shared" si="73"/>
        <v>女</v>
      </c>
      <c r="D617" s="1" t="str">
        <f>"汉族"</f>
        <v>汉族</v>
      </c>
      <c r="E617" s="1" t="str">
        <f>"15062182529"</f>
        <v>15062182529</v>
      </c>
      <c r="F617" s="1">
        <v>25</v>
      </c>
      <c r="G617" s="1">
        <v>29</v>
      </c>
      <c r="H617" s="5">
        <v>47</v>
      </c>
      <c r="I617" s="1">
        <v>0</v>
      </c>
      <c r="J617" s="1">
        <f t="shared" si="74"/>
        <v>47</v>
      </c>
    </row>
    <row r="618" spans="1:10">
      <c r="A618" s="1" t="s">
        <v>28</v>
      </c>
      <c r="B618" s="1" t="str">
        <f>"刘娜"</f>
        <v>刘娜</v>
      </c>
      <c r="C618" s="1" t="str">
        <f t="shared" si="73"/>
        <v>女</v>
      </c>
      <c r="D618" s="1" t="str">
        <f>"汉族"</f>
        <v>汉族</v>
      </c>
      <c r="E618" s="1" t="str">
        <f>"15062182530"</f>
        <v>15062182530</v>
      </c>
      <c r="F618" s="1">
        <v>25</v>
      </c>
      <c r="G618" s="1">
        <v>30</v>
      </c>
      <c r="H618" s="5">
        <v>0</v>
      </c>
      <c r="I618" s="1">
        <v>0</v>
      </c>
      <c r="J618" s="1">
        <f t="shared" si="74"/>
        <v>0</v>
      </c>
    </row>
    <row r="619" spans="1:10">
      <c r="A619" s="1" t="s">
        <v>28</v>
      </c>
      <c r="B619" s="1" t="str">
        <f>"卢学敏"</f>
        <v>卢学敏</v>
      </c>
      <c r="C619" s="1" t="str">
        <f t="shared" si="73"/>
        <v>女</v>
      </c>
      <c r="D619" s="1" t="str">
        <f>"汉族"</f>
        <v>汉族</v>
      </c>
      <c r="E619" s="1" t="str">
        <f>"15062182601"</f>
        <v>15062182601</v>
      </c>
      <c r="F619" s="1">
        <v>26</v>
      </c>
      <c r="G619" s="1">
        <v>1</v>
      </c>
      <c r="H619" s="5">
        <v>0</v>
      </c>
      <c r="I619" s="1">
        <v>0</v>
      </c>
      <c r="J619" s="1">
        <f t="shared" si="74"/>
        <v>0</v>
      </c>
    </row>
    <row r="620" spans="1:10">
      <c r="A620" s="1" t="s">
        <v>28</v>
      </c>
      <c r="B620" s="1" t="str">
        <f>"龚媛"</f>
        <v>龚媛</v>
      </c>
      <c r="C620" s="1" t="str">
        <f t="shared" si="73"/>
        <v>女</v>
      </c>
      <c r="D620" s="1" t="str">
        <f>"汉族"</f>
        <v>汉族</v>
      </c>
      <c r="E620" s="1" t="str">
        <f>"15062182602"</f>
        <v>15062182602</v>
      </c>
      <c r="F620" s="1">
        <v>26</v>
      </c>
      <c r="G620" s="1">
        <v>2</v>
      </c>
      <c r="H620" s="5">
        <v>60</v>
      </c>
      <c r="I620" s="1">
        <v>0</v>
      </c>
      <c r="J620" s="1">
        <f t="shared" si="74"/>
        <v>60</v>
      </c>
    </row>
    <row r="621" spans="1:10">
      <c r="A621" s="1" t="s">
        <v>28</v>
      </c>
      <c r="B621" s="1" t="str">
        <f>"嘎日格"</f>
        <v>嘎日格</v>
      </c>
      <c r="C621" s="1" t="str">
        <f>"男"</f>
        <v>男</v>
      </c>
      <c r="D621" s="1" t="str">
        <f>"蒙古族"</f>
        <v>蒙古族</v>
      </c>
      <c r="E621" s="1" t="str">
        <f>"15062182603"</f>
        <v>15062182603</v>
      </c>
      <c r="F621" s="1">
        <v>26</v>
      </c>
      <c r="G621" s="1">
        <v>3</v>
      </c>
      <c r="H621" s="5">
        <v>39</v>
      </c>
      <c r="I621" s="1">
        <v>2.5</v>
      </c>
      <c r="J621" s="1">
        <f t="shared" si="74"/>
        <v>41.5</v>
      </c>
    </row>
    <row r="622" spans="1:10">
      <c r="A622" s="1" t="s">
        <v>28</v>
      </c>
      <c r="B622" s="1" t="str">
        <f>"刘水仙"</f>
        <v>刘水仙</v>
      </c>
      <c r="C622" s="1" t="str">
        <f>"女"</f>
        <v>女</v>
      </c>
      <c r="D622" s="1" t="str">
        <f t="shared" ref="D622:D627" si="76">"汉族"</f>
        <v>汉族</v>
      </c>
      <c r="E622" s="1" t="str">
        <f>"15062182604"</f>
        <v>15062182604</v>
      </c>
      <c r="F622" s="1">
        <v>26</v>
      </c>
      <c r="G622" s="1">
        <v>4</v>
      </c>
      <c r="H622" s="5">
        <v>75</v>
      </c>
      <c r="I622" s="1">
        <v>0</v>
      </c>
      <c r="J622" s="1">
        <f t="shared" si="74"/>
        <v>75</v>
      </c>
    </row>
    <row r="623" spans="1:10">
      <c r="A623" s="1" t="s">
        <v>28</v>
      </c>
      <c r="B623" s="1" t="str">
        <f>"刘磊"</f>
        <v>刘磊</v>
      </c>
      <c r="C623" s="1" t="str">
        <f>"男"</f>
        <v>男</v>
      </c>
      <c r="D623" s="1" t="str">
        <f t="shared" si="76"/>
        <v>汉族</v>
      </c>
      <c r="E623" s="1" t="str">
        <f>"15062182605"</f>
        <v>15062182605</v>
      </c>
      <c r="F623" s="1">
        <v>26</v>
      </c>
      <c r="G623" s="1">
        <v>5</v>
      </c>
      <c r="H623" s="5">
        <v>42</v>
      </c>
      <c r="I623" s="1">
        <v>0</v>
      </c>
      <c r="J623" s="1">
        <f t="shared" si="74"/>
        <v>42</v>
      </c>
    </row>
    <row r="624" spans="1:10">
      <c r="A624" s="1" t="s">
        <v>28</v>
      </c>
      <c r="B624" s="1" t="str">
        <f>"吕怡霖"</f>
        <v>吕怡霖</v>
      </c>
      <c r="C624" s="1" t="str">
        <f>"女"</f>
        <v>女</v>
      </c>
      <c r="D624" s="1" t="str">
        <f t="shared" si="76"/>
        <v>汉族</v>
      </c>
      <c r="E624" s="1" t="str">
        <f>"15062182606"</f>
        <v>15062182606</v>
      </c>
      <c r="F624" s="1">
        <v>26</v>
      </c>
      <c r="G624" s="1">
        <v>6</v>
      </c>
      <c r="H624" s="5">
        <v>0</v>
      </c>
      <c r="I624" s="1">
        <v>0</v>
      </c>
      <c r="J624" s="1">
        <f t="shared" si="74"/>
        <v>0</v>
      </c>
    </row>
    <row r="625" spans="1:10">
      <c r="A625" s="1" t="s">
        <v>28</v>
      </c>
      <c r="B625" s="1" t="str">
        <f>"白红梅"</f>
        <v>白红梅</v>
      </c>
      <c r="C625" s="1" t="str">
        <f>"女"</f>
        <v>女</v>
      </c>
      <c r="D625" s="1" t="str">
        <f t="shared" si="76"/>
        <v>汉族</v>
      </c>
      <c r="E625" s="1" t="str">
        <f>"15062182607"</f>
        <v>15062182607</v>
      </c>
      <c r="F625" s="1">
        <v>26</v>
      </c>
      <c r="G625" s="1">
        <v>7</v>
      </c>
      <c r="H625" s="5">
        <v>44</v>
      </c>
      <c r="I625" s="1">
        <v>0</v>
      </c>
      <c r="J625" s="1">
        <f t="shared" si="74"/>
        <v>44</v>
      </c>
    </row>
    <row r="626" spans="1:10">
      <c r="A626" s="1" t="s">
        <v>28</v>
      </c>
      <c r="B626" s="1" t="str">
        <f>"张磊"</f>
        <v>张磊</v>
      </c>
      <c r="C626" s="1" t="str">
        <f>"男"</f>
        <v>男</v>
      </c>
      <c r="D626" s="1" t="str">
        <f t="shared" si="76"/>
        <v>汉族</v>
      </c>
      <c r="E626" s="1" t="str">
        <f>"15062182608"</f>
        <v>15062182608</v>
      </c>
      <c r="F626" s="1">
        <v>26</v>
      </c>
      <c r="G626" s="1">
        <v>8</v>
      </c>
      <c r="H626" s="5">
        <v>43</v>
      </c>
      <c r="I626" s="1">
        <v>0</v>
      </c>
      <c r="J626" s="1">
        <f t="shared" si="74"/>
        <v>43</v>
      </c>
    </row>
    <row r="627" spans="1:10">
      <c r="A627" s="1" t="s">
        <v>28</v>
      </c>
      <c r="B627" s="1" t="str">
        <f>"刘蕊"</f>
        <v>刘蕊</v>
      </c>
      <c r="C627" s="1" t="str">
        <f>"女"</f>
        <v>女</v>
      </c>
      <c r="D627" s="1" t="str">
        <f t="shared" si="76"/>
        <v>汉族</v>
      </c>
      <c r="E627" s="1" t="str">
        <f>"15062182609"</f>
        <v>15062182609</v>
      </c>
      <c r="F627" s="1">
        <v>26</v>
      </c>
      <c r="G627" s="1">
        <v>9</v>
      </c>
      <c r="H627" s="5">
        <v>0</v>
      </c>
      <c r="I627" s="1">
        <v>0</v>
      </c>
      <c r="J627" s="1">
        <f t="shared" si="74"/>
        <v>0</v>
      </c>
    </row>
    <row r="628" spans="1:10">
      <c r="A628" s="1" t="s">
        <v>28</v>
      </c>
      <c r="B628" s="1" t="str">
        <f>"阿日古娜"</f>
        <v>阿日古娜</v>
      </c>
      <c r="C628" s="1" t="str">
        <f>"女"</f>
        <v>女</v>
      </c>
      <c r="D628" s="1" t="str">
        <f>"蒙古族"</f>
        <v>蒙古族</v>
      </c>
      <c r="E628" s="1" t="str">
        <f>"15062182610"</f>
        <v>15062182610</v>
      </c>
      <c r="F628" s="1">
        <v>26</v>
      </c>
      <c r="G628" s="1">
        <v>10</v>
      </c>
      <c r="H628" s="5">
        <v>48</v>
      </c>
      <c r="I628" s="1">
        <v>2.5</v>
      </c>
      <c r="J628" s="1">
        <f t="shared" si="74"/>
        <v>50.5</v>
      </c>
    </row>
    <row r="629" spans="1:10">
      <c r="A629" s="1" t="s">
        <v>28</v>
      </c>
      <c r="B629" s="1" t="str">
        <f>"郝娟"</f>
        <v>郝娟</v>
      </c>
      <c r="C629" s="1" t="str">
        <f>"女"</f>
        <v>女</v>
      </c>
      <c r="D629" s="1" t="str">
        <f>"汉族"</f>
        <v>汉族</v>
      </c>
      <c r="E629" s="1" t="str">
        <f>"15062182611"</f>
        <v>15062182611</v>
      </c>
      <c r="F629" s="1">
        <v>26</v>
      </c>
      <c r="G629" s="1">
        <v>11</v>
      </c>
      <c r="H629" s="5">
        <v>0</v>
      </c>
      <c r="I629" s="1">
        <v>0</v>
      </c>
      <c r="J629" s="1">
        <f t="shared" si="74"/>
        <v>0</v>
      </c>
    </row>
    <row r="630" spans="1:10">
      <c r="A630" s="1" t="s">
        <v>28</v>
      </c>
      <c r="B630" s="1" t="str">
        <f>"张矿"</f>
        <v>张矿</v>
      </c>
      <c r="C630" s="1" t="str">
        <f>"男"</f>
        <v>男</v>
      </c>
      <c r="D630" s="1" t="str">
        <f>"汉族"</f>
        <v>汉族</v>
      </c>
      <c r="E630" s="1" t="str">
        <f>"15062182612"</f>
        <v>15062182612</v>
      </c>
      <c r="F630" s="1">
        <v>26</v>
      </c>
      <c r="G630" s="1">
        <v>12</v>
      </c>
      <c r="H630" s="5">
        <v>0</v>
      </c>
      <c r="I630" s="1">
        <v>0</v>
      </c>
      <c r="J630" s="1">
        <f t="shared" si="74"/>
        <v>0</v>
      </c>
    </row>
    <row r="631" spans="1:10">
      <c r="A631" s="1" t="s">
        <v>28</v>
      </c>
      <c r="B631" s="1" t="str">
        <f>"包丹丹"</f>
        <v>包丹丹</v>
      </c>
      <c r="C631" s="1" t="str">
        <f>"女"</f>
        <v>女</v>
      </c>
      <c r="D631" s="1" t="str">
        <f>"蒙古族"</f>
        <v>蒙古族</v>
      </c>
      <c r="E631" s="1" t="str">
        <f>"15062182613"</f>
        <v>15062182613</v>
      </c>
      <c r="F631" s="1">
        <v>26</v>
      </c>
      <c r="G631" s="1">
        <v>13</v>
      </c>
      <c r="H631" s="5">
        <v>48</v>
      </c>
      <c r="I631" s="1">
        <v>2.5</v>
      </c>
      <c r="J631" s="1">
        <f t="shared" si="74"/>
        <v>50.5</v>
      </c>
    </row>
    <row r="632" spans="1:10">
      <c r="A632" s="1" t="s">
        <v>28</v>
      </c>
      <c r="B632" s="1" t="str">
        <f>"越婧"</f>
        <v>越婧</v>
      </c>
      <c r="C632" s="1" t="str">
        <f>"女"</f>
        <v>女</v>
      </c>
      <c r="D632" s="1" t="str">
        <f>"蒙古族"</f>
        <v>蒙古族</v>
      </c>
      <c r="E632" s="1" t="str">
        <f>"15062182614"</f>
        <v>15062182614</v>
      </c>
      <c r="F632" s="1">
        <v>26</v>
      </c>
      <c r="G632" s="1">
        <v>14</v>
      </c>
      <c r="H632" s="5">
        <v>52</v>
      </c>
      <c r="I632" s="1">
        <v>2.5</v>
      </c>
      <c r="J632" s="1">
        <f t="shared" si="74"/>
        <v>54.5</v>
      </c>
    </row>
    <row r="633" spans="1:10">
      <c r="A633" s="1" t="s">
        <v>28</v>
      </c>
      <c r="B633" s="1" t="str">
        <f>"贾青育"</f>
        <v>贾青育</v>
      </c>
      <c r="C633" s="1" t="str">
        <f>"女"</f>
        <v>女</v>
      </c>
      <c r="D633" s="1" t="str">
        <f>"蒙古族"</f>
        <v>蒙古族</v>
      </c>
      <c r="E633" s="1" t="str">
        <f>"15062182615"</f>
        <v>15062182615</v>
      </c>
      <c r="F633" s="1">
        <v>26</v>
      </c>
      <c r="G633" s="1">
        <v>15</v>
      </c>
      <c r="H633" s="5">
        <v>0</v>
      </c>
      <c r="I633" s="1">
        <v>0</v>
      </c>
      <c r="J633" s="1">
        <f t="shared" si="74"/>
        <v>0</v>
      </c>
    </row>
    <row r="634" spans="1:10">
      <c r="A634" s="1" t="s">
        <v>28</v>
      </c>
      <c r="B634" s="1" t="str">
        <f>"张雪"</f>
        <v>张雪</v>
      </c>
      <c r="C634" s="1" t="str">
        <f>"女"</f>
        <v>女</v>
      </c>
      <c r="D634" s="1" t="str">
        <f>"汉族"</f>
        <v>汉族</v>
      </c>
      <c r="E634" s="1" t="str">
        <f>"15062182616"</f>
        <v>15062182616</v>
      </c>
      <c r="F634" s="1">
        <v>26</v>
      </c>
      <c r="G634" s="1">
        <v>16</v>
      </c>
      <c r="H634" s="5">
        <v>57</v>
      </c>
      <c r="I634" s="1">
        <v>0</v>
      </c>
      <c r="J634" s="1">
        <f t="shared" si="74"/>
        <v>57</v>
      </c>
    </row>
    <row r="635" spans="1:10">
      <c r="A635" s="1" t="s">
        <v>28</v>
      </c>
      <c r="B635" s="1" t="str">
        <f>"乔艳"</f>
        <v>乔艳</v>
      </c>
      <c r="C635" s="1" t="str">
        <f>"女"</f>
        <v>女</v>
      </c>
      <c r="D635" s="1" t="str">
        <f>"汉族"</f>
        <v>汉族</v>
      </c>
      <c r="E635" s="1" t="str">
        <f>"15062182617"</f>
        <v>15062182617</v>
      </c>
      <c r="F635" s="1">
        <v>26</v>
      </c>
      <c r="G635" s="1">
        <v>17</v>
      </c>
      <c r="H635" s="5">
        <v>51</v>
      </c>
      <c r="I635" s="1">
        <v>0</v>
      </c>
      <c r="J635" s="1">
        <f t="shared" si="74"/>
        <v>51</v>
      </c>
    </row>
    <row r="636" spans="1:10">
      <c r="A636" s="1" t="s">
        <v>28</v>
      </c>
      <c r="B636" s="1" t="str">
        <f>"付东"</f>
        <v>付东</v>
      </c>
      <c r="C636" s="1" t="str">
        <f>"男"</f>
        <v>男</v>
      </c>
      <c r="D636" s="1" t="str">
        <f>"汉族"</f>
        <v>汉族</v>
      </c>
      <c r="E636" s="1" t="str">
        <f>"15062182618"</f>
        <v>15062182618</v>
      </c>
      <c r="F636" s="1">
        <v>26</v>
      </c>
      <c r="G636" s="1">
        <v>18</v>
      </c>
      <c r="H636" s="5">
        <v>44</v>
      </c>
      <c r="I636" s="1">
        <v>0</v>
      </c>
      <c r="J636" s="1">
        <f t="shared" si="74"/>
        <v>44</v>
      </c>
    </row>
    <row r="637" spans="1:10">
      <c r="A637" s="1" t="s">
        <v>28</v>
      </c>
      <c r="B637" s="1" t="str">
        <f>"赵蓉"</f>
        <v>赵蓉</v>
      </c>
      <c r="C637" s="1" t="str">
        <f>"女"</f>
        <v>女</v>
      </c>
      <c r="D637" s="1" t="str">
        <f>"汉族"</f>
        <v>汉族</v>
      </c>
      <c r="E637" s="1" t="str">
        <f>"15062182619"</f>
        <v>15062182619</v>
      </c>
      <c r="F637" s="1">
        <v>26</v>
      </c>
      <c r="G637" s="1">
        <v>19</v>
      </c>
      <c r="H637" s="5">
        <v>52</v>
      </c>
      <c r="I637" s="1">
        <v>0</v>
      </c>
      <c r="J637" s="1">
        <f t="shared" si="74"/>
        <v>52</v>
      </c>
    </row>
    <row r="638" spans="1:10">
      <c r="A638" s="1" t="s">
        <v>28</v>
      </c>
      <c r="B638" s="1" t="str">
        <f>"张鰆水"</f>
        <v>张鰆水</v>
      </c>
      <c r="C638" s="1" t="str">
        <f>"女"</f>
        <v>女</v>
      </c>
      <c r="D638" s="1" t="str">
        <f>"汉族"</f>
        <v>汉族</v>
      </c>
      <c r="E638" s="1" t="str">
        <f>"15062182620"</f>
        <v>15062182620</v>
      </c>
      <c r="F638" s="1">
        <v>26</v>
      </c>
      <c r="G638" s="1">
        <v>20</v>
      </c>
      <c r="H638" s="5">
        <v>0</v>
      </c>
      <c r="I638" s="1">
        <v>0</v>
      </c>
      <c r="J638" s="1">
        <f t="shared" si="74"/>
        <v>0</v>
      </c>
    </row>
    <row r="639" spans="1:10">
      <c r="A639" s="1" t="s">
        <v>28</v>
      </c>
      <c r="B639" s="1" t="str">
        <f>"魏茹"</f>
        <v>魏茹</v>
      </c>
      <c r="C639" s="1" t="str">
        <f>"女"</f>
        <v>女</v>
      </c>
      <c r="D639" s="1" t="str">
        <f>"满族"</f>
        <v>满族</v>
      </c>
      <c r="E639" s="1" t="str">
        <f>"15062182621"</f>
        <v>15062182621</v>
      </c>
      <c r="F639" s="1">
        <v>26</v>
      </c>
      <c r="G639" s="1">
        <v>21</v>
      </c>
      <c r="H639" s="5">
        <v>69</v>
      </c>
      <c r="I639" s="1">
        <v>0</v>
      </c>
      <c r="J639" s="1">
        <f t="shared" si="74"/>
        <v>69</v>
      </c>
    </row>
    <row r="640" spans="1:10">
      <c r="A640" s="1" t="s">
        <v>28</v>
      </c>
      <c r="B640" s="1" t="str">
        <f>"杨瑞"</f>
        <v>杨瑞</v>
      </c>
      <c r="C640" s="1" t="str">
        <f>"女"</f>
        <v>女</v>
      </c>
      <c r="D640" s="1" t="str">
        <f t="shared" ref="D640:D653" si="77">"汉族"</f>
        <v>汉族</v>
      </c>
      <c r="E640" s="1" t="str">
        <f>"15062182622"</f>
        <v>15062182622</v>
      </c>
      <c r="F640" s="1">
        <v>26</v>
      </c>
      <c r="G640" s="1">
        <v>22</v>
      </c>
      <c r="H640" s="5">
        <v>58</v>
      </c>
      <c r="I640" s="1">
        <v>0</v>
      </c>
      <c r="J640" s="1">
        <f t="shared" si="74"/>
        <v>58</v>
      </c>
    </row>
    <row r="641" spans="1:10">
      <c r="A641" s="1" t="s">
        <v>28</v>
      </c>
      <c r="B641" s="1" t="str">
        <f>"武晓明"</f>
        <v>武晓明</v>
      </c>
      <c r="C641" s="1" t="str">
        <f>"男"</f>
        <v>男</v>
      </c>
      <c r="D641" s="1" t="str">
        <f t="shared" si="77"/>
        <v>汉族</v>
      </c>
      <c r="E641" s="1" t="str">
        <f>"15062182623"</f>
        <v>15062182623</v>
      </c>
      <c r="F641" s="1">
        <v>26</v>
      </c>
      <c r="G641" s="1">
        <v>23</v>
      </c>
      <c r="H641" s="5">
        <v>61</v>
      </c>
      <c r="I641" s="1">
        <v>0</v>
      </c>
      <c r="J641" s="1">
        <f t="shared" si="74"/>
        <v>61</v>
      </c>
    </row>
    <row r="642" spans="1:10">
      <c r="A642" s="1" t="s">
        <v>28</v>
      </c>
      <c r="B642" s="1" t="str">
        <f>"崔廷吉"</f>
        <v>崔廷吉</v>
      </c>
      <c r="C642" s="1" t="str">
        <f>"女"</f>
        <v>女</v>
      </c>
      <c r="D642" s="1" t="str">
        <f t="shared" si="77"/>
        <v>汉族</v>
      </c>
      <c r="E642" s="1" t="str">
        <f>"15062182624"</f>
        <v>15062182624</v>
      </c>
      <c r="F642" s="1">
        <v>26</v>
      </c>
      <c r="G642" s="1">
        <v>24</v>
      </c>
      <c r="H642" s="5">
        <v>0</v>
      </c>
      <c r="I642" s="1">
        <v>0</v>
      </c>
      <c r="J642" s="1">
        <f t="shared" si="74"/>
        <v>0</v>
      </c>
    </row>
    <row r="643" spans="1:10">
      <c r="A643" s="1" t="s">
        <v>28</v>
      </c>
      <c r="B643" s="1" t="str">
        <f>"李润民"</f>
        <v>李润民</v>
      </c>
      <c r="C643" s="1" t="str">
        <f>"男"</f>
        <v>男</v>
      </c>
      <c r="D643" s="1" t="str">
        <f t="shared" si="77"/>
        <v>汉族</v>
      </c>
      <c r="E643" s="1" t="str">
        <f>"15062182625"</f>
        <v>15062182625</v>
      </c>
      <c r="F643" s="1">
        <v>26</v>
      </c>
      <c r="G643" s="1">
        <v>25</v>
      </c>
      <c r="H643" s="5">
        <v>68</v>
      </c>
      <c r="I643" s="1">
        <v>0</v>
      </c>
      <c r="J643" s="1">
        <f t="shared" si="74"/>
        <v>68</v>
      </c>
    </row>
    <row r="644" spans="1:10">
      <c r="A644" s="1" t="s">
        <v>28</v>
      </c>
      <c r="B644" s="1" t="str">
        <f>"钟昕晔"</f>
        <v>钟昕晔</v>
      </c>
      <c r="C644" s="1" t="str">
        <f t="shared" ref="C644:C652" si="78">"女"</f>
        <v>女</v>
      </c>
      <c r="D644" s="1" t="str">
        <f t="shared" si="77"/>
        <v>汉族</v>
      </c>
      <c r="E644" s="1" t="str">
        <f>"15062182626"</f>
        <v>15062182626</v>
      </c>
      <c r="F644" s="1">
        <v>26</v>
      </c>
      <c r="G644" s="1">
        <v>26</v>
      </c>
      <c r="H644" s="5">
        <v>0</v>
      </c>
      <c r="I644" s="1">
        <v>0</v>
      </c>
      <c r="J644" s="1">
        <f t="shared" si="74"/>
        <v>0</v>
      </c>
    </row>
    <row r="645" spans="1:10">
      <c r="A645" s="1" t="s">
        <v>28</v>
      </c>
      <c r="B645" s="1" t="str">
        <f>"郝敏"</f>
        <v>郝敏</v>
      </c>
      <c r="C645" s="1" t="str">
        <f t="shared" si="78"/>
        <v>女</v>
      </c>
      <c r="D645" s="1" t="str">
        <f t="shared" si="77"/>
        <v>汉族</v>
      </c>
      <c r="E645" s="1" t="str">
        <f>"15062182627"</f>
        <v>15062182627</v>
      </c>
      <c r="F645" s="1">
        <v>26</v>
      </c>
      <c r="G645" s="1">
        <v>27</v>
      </c>
      <c r="H645" s="5">
        <v>0</v>
      </c>
      <c r="I645" s="1">
        <v>0</v>
      </c>
      <c r="J645" s="1">
        <f t="shared" si="74"/>
        <v>0</v>
      </c>
    </row>
    <row r="646" spans="1:10">
      <c r="A646" s="1" t="s">
        <v>28</v>
      </c>
      <c r="B646" s="1" t="str">
        <f>"贺筱"</f>
        <v>贺筱</v>
      </c>
      <c r="C646" s="1" t="str">
        <f t="shared" si="78"/>
        <v>女</v>
      </c>
      <c r="D646" s="1" t="str">
        <f t="shared" si="77"/>
        <v>汉族</v>
      </c>
      <c r="E646" s="1" t="str">
        <f>"15062182628"</f>
        <v>15062182628</v>
      </c>
      <c r="F646" s="1">
        <v>26</v>
      </c>
      <c r="G646" s="1">
        <v>28</v>
      </c>
      <c r="H646" s="5">
        <v>55</v>
      </c>
      <c r="I646" s="1">
        <v>0</v>
      </c>
      <c r="J646" s="1">
        <f t="shared" si="74"/>
        <v>55</v>
      </c>
    </row>
    <row r="647" spans="1:10">
      <c r="A647" s="1" t="s">
        <v>28</v>
      </c>
      <c r="B647" s="1" t="str">
        <f>"贾艳"</f>
        <v>贾艳</v>
      </c>
      <c r="C647" s="1" t="str">
        <f t="shared" si="78"/>
        <v>女</v>
      </c>
      <c r="D647" s="1" t="str">
        <f t="shared" si="77"/>
        <v>汉族</v>
      </c>
      <c r="E647" s="1" t="str">
        <f>"15062182629"</f>
        <v>15062182629</v>
      </c>
      <c r="F647" s="1">
        <v>26</v>
      </c>
      <c r="G647" s="1">
        <v>29</v>
      </c>
      <c r="H647" s="5">
        <v>39</v>
      </c>
      <c r="I647" s="1">
        <v>0</v>
      </c>
      <c r="J647" s="1">
        <f t="shared" si="74"/>
        <v>39</v>
      </c>
    </row>
    <row r="648" spans="1:10">
      <c r="A648" s="1" t="s">
        <v>28</v>
      </c>
      <c r="B648" s="1" t="str">
        <f>"王馨妍"</f>
        <v>王馨妍</v>
      </c>
      <c r="C648" s="1" t="str">
        <f t="shared" si="78"/>
        <v>女</v>
      </c>
      <c r="D648" s="1" t="str">
        <f t="shared" si="77"/>
        <v>汉族</v>
      </c>
      <c r="E648" s="1" t="str">
        <f>"15062182630"</f>
        <v>15062182630</v>
      </c>
      <c r="F648" s="1">
        <v>26</v>
      </c>
      <c r="G648" s="1">
        <v>30</v>
      </c>
      <c r="H648" s="5">
        <v>48</v>
      </c>
      <c r="I648" s="1">
        <v>0</v>
      </c>
      <c r="J648" s="1">
        <f t="shared" si="74"/>
        <v>48</v>
      </c>
    </row>
    <row r="649" spans="1:10">
      <c r="A649" s="1" t="s">
        <v>28</v>
      </c>
      <c r="B649" s="1" t="str">
        <f>"马建建"</f>
        <v>马建建</v>
      </c>
      <c r="C649" s="1" t="str">
        <f t="shared" si="78"/>
        <v>女</v>
      </c>
      <c r="D649" s="1" t="str">
        <f t="shared" si="77"/>
        <v>汉族</v>
      </c>
      <c r="E649" s="1" t="str">
        <f>"15062182701"</f>
        <v>15062182701</v>
      </c>
      <c r="F649" s="1">
        <v>27</v>
      </c>
      <c r="G649" s="1">
        <v>1</v>
      </c>
      <c r="H649" s="5">
        <v>0</v>
      </c>
      <c r="I649" s="1">
        <v>0</v>
      </c>
      <c r="J649" s="1">
        <f t="shared" si="74"/>
        <v>0</v>
      </c>
    </row>
    <row r="650" spans="1:10">
      <c r="A650" s="1" t="s">
        <v>28</v>
      </c>
      <c r="B650" s="1" t="str">
        <f>"王俊霞"</f>
        <v>王俊霞</v>
      </c>
      <c r="C650" s="1" t="str">
        <f t="shared" si="78"/>
        <v>女</v>
      </c>
      <c r="D650" s="1" t="str">
        <f t="shared" si="77"/>
        <v>汉族</v>
      </c>
      <c r="E650" s="1" t="str">
        <f>"15062182702"</f>
        <v>15062182702</v>
      </c>
      <c r="F650" s="1">
        <v>27</v>
      </c>
      <c r="G650" s="1">
        <v>2</v>
      </c>
      <c r="H650" s="5">
        <v>53</v>
      </c>
      <c r="I650" s="1">
        <v>0</v>
      </c>
      <c r="J650" s="1">
        <f t="shared" si="74"/>
        <v>53</v>
      </c>
    </row>
    <row r="651" spans="1:10">
      <c r="A651" s="1" t="s">
        <v>28</v>
      </c>
      <c r="B651" s="1" t="str">
        <f>"王乐"</f>
        <v>王乐</v>
      </c>
      <c r="C651" s="1" t="str">
        <f t="shared" si="78"/>
        <v>女</v>
      </c>
      <c r="D651" s="1" t="str">
        <f t="shared" si="77"/>
        <v>汉族</v>
      </c>
      <c r="E651" s="1" t="str">
        <f>"15062182703"</f>
        <v>15062182703</v>
      </c>
      <c r="F651" s="1">
        <v>27</v>
      </c>
      <c r="G651" s="1">
        <v>3</v>
      </c>
      <c r="H651" s="5">
        <v>46</v>
      </c>
      <c r="I651" s="1">
        <v>0</v>
      </c>
      <c r="J651" s="1">
        <f t="shared" si="74"/>
        <v>46</v>
      </c>
    </row>
    <row r="652" spans="1:10">
      <c r="A652" s="1" t="s">
        <v>28</v>
      </c>
      <c r="B652" s="1" t="str">
        <f>"杨俊婷"</f>
        <v>杨俊婷</v>
      </c>
      <c r="C652" s="1" t="str">
        <f t="shared" si="78"/>
        <v>女</v>
      </c>
      <c r="D652" s="1" t="str">
        <f t="shared" si="77"/>
        <v>汉族</v>
      </c>
      <c r="E652" s="1" t="str">
        <f>"15062182704"</f>
        <v>15062182704</v>
      </c>
      <c r="F652" s="1">
        <v>27</v>
      </c>
      <c r="G652" s="1">
        <v>4</v>
      </c>
      <c r="H652" s="5">
        <v>41</v>
      </c>
      <c r="I652" s="1">
        <v>0</v>
      </c>
      <c r="J652" s="1">
        <f t="shared" si="74"/>
        <v>41</v>
      </c>
    </row>
    <row r="653" spans="1:10">
      <c r="A653" s="1" t="s">
        <v>28</v>
      </c>
      <c r="B653" s="1" t="str">
        <f>"靳易达"</f>
        <v>靳易达</v>
      </c>
      <c r="C653" s="1" t="str">
        <f>"男"</f>
        <v>男</v>
      </c>
      <c r="D653" s="1" t="str">
        <f t="shared" si="77"/>
        <v>汉族</v>
      </c>
      <c r="E653" s="1" t="str">
        <f>"15062182705"</f>
        <v>15062182705</v>
      </c>
      <c r="F653" s="1">
        <v>27</v>
      </c>
      <c r="G653" s="1">
        <v>5</v>
      </c>
      <c r="H653" s="5">
        <v>0</v>
      </c>
      <c r="I653" s="1">
        <v>0</v>
      </c>
      <c r="J653" s="1">
        <f t="shared" si="74"/>
        <v>0</v>
      </c>
    </row>
    <row r="654" spans="1:10">
      <c r="A654" s="1" t="s">
        <v>28</v>
      </c>
      <c r="B654" s="1" t="str">
        <f>"萨日盖"</f>
        <v>萨日盖</v>
      </c>
      <c r="C654" s="1" t="str">
        <f>"女"</f>
        <v>女</v>
      </c>
      <c r="D654" s="1" t="str">
        <f>"蒙古族"</f>
        <v>蒙古族</v>
      </c>
      <c r="E654" s="1" t="str">
        <f>"15062182706"</f>
        <v>15062182706</v>
      </c>
      <c r="F654" s="1">
        <v>27</v>
      </c>
      <c r="G654" s="1">
        <v>6</v>
      </c>
      <c r="H654" s="5">
        <v>53</v>
      </c>
      <c r="I654" s="1">
        <v>2.5</v>
      </c>
      <c r="J654" s="1">
        <f t="shared" si="74"/>
        <v>55.5</v>
      </c>
    </row>
    <row r="655" spans="1:10">
      <c r="A655" s="1" t="s">
        <v>28</v>
      </c>
      <c r="B655" s="1" t="str">
        <f>"边婷"</f>
        <v>边婷</v>
      </c>
      <c r="C655" s="1" t="str">
        <f>"女"</f>
        <v>女</v>
      </c>
      <c r="D655" s="1" t="str">
        <f t="shared" ref="D655:D665" si="79">"汉族"</f>
        <v>汉族</v>
      </c>
      <c r="E655" s="1" t="str">
        <f>"15062182707"</f>
        <v>15062182707</v>
      </c>
      <c r="F655" s="1">
        <v>27</v>
      </c>
      <c r="G655" s="1">
        <v>7</v>
      </c>
      <c r="H655" s="5">
        <v>53</v>
      </c>
      <c r="I655" s="1">
        <v>0</v>
      </c>
      <c r="J655" s="1">
        <f t="shared" si="74"/>
        <v>53</v>
      </c>
    </row>
    <row r="656" spans="1:10">
      <c r="A656" s="1" t="s">
        <v>28</v>
      </c>
      <c r="B656" s="1" t="str">
        <f>"代阳"</f>
        <v>代阳</v>
      </c>
      <c r="C656" s="1" t="str">
        <f>"男"</f>
        <v>男</v>
      </c>
      <c r="D656" s="1" t="str">
        <f t="shared" si="79"/>
        <v>汉族</v>
      </c>
      <c r="E656" s="1" t="str">
        <f>"15062182708"</f>
        <v>15062182708</v>
      </c>
      <c r="F656" s="1">
        <v>27</v>
      </c>
      <c r="G656" s="1">
        <v>8</v>
      </c>
      <c r="H656" s="5">
        <v>0</v>
      </c>
      <c r="I656" s="1">
        <v>0</v>
      </c>
      <c r="J656" s="1">
        <f t="shared" si="74"/>
        <v>0</v>
      </c>
    </row>
    <row r="657" spans="1:10">
      <c r="A657" s="1" t="s">
        <v>28</v>
      </c>
      <c r="B657" s="1" t="str">
        <f>"何瑞峰"</f>
        <v>何瑞峰</v>
      </c>
      <c r="C657" s="1" t="str">
        <f>"男"</f>
        <v>男</v>
      </c>
      <c r="D657" s="1" t="str">
        <f t="shared" si="79"/>
        <v>汉族</v>
      </c>
      <c r="E657" s="1" t="str">
        <f>"15062182709"</f>
        <v>15062182709</v>
      </c>
      <c r="F657" s="1">
        <v>27</v>
      </c>
      <c r="G657" s="1">
        <v>9</v>
      </c>
      <c r="H657" s="5">
        <v>59</v>
      </c>
      <c r="I657" s="1">
        <v>0</v>
      </c>
      <c r="J657" s="1">
        <f t="shared" si="74"/>
        <v>59</v>
      </c>
    </row>
    <row r="658" spans="1:10">
      <c r="A658" s="1" t="s">
        <v>28</v>
      </c>
      <c r="B658" s="1" t="str">
        <f>"霍昊楠"</f>
        <v>霍昊楠</v>
      </c>
      <c r="C658" s="1" t="str">
        <f>"男"</f>
        <v>男</v>
      </c>
      <c r="D658" s="1" t="str">
        <f t="shared" si="79"/>
        <v>汉族</v>
      </c>
      <c r="E658" s="1" t="str">
        <f>"15062182710"</f>
        <v>15062182710</v>
      </c>
      <c r="F658" s="1">
        <v>27</v>
      </c>
      <c r="G658" s="1">
        <v>10</v>
      </c>
      <c r="H658" s="5">
        <v>53</v>
      </c>
      <c r="I658" s="1">
        <v>0</v>
      </c>
      <c r="J658" s="1">
        <f t="shared" si="74"/>
        <v>53</v>
      </c>
    </row>
    <row r="659" spans="1:10">
      <c r="A659" s="1" t="s">
        <v>28</v>
      </c>
      <c r="B659" s="1" t="str">
        <f>"杨明"</f>
        <v>杨明</v>
      </c>
      <c r="C659" s="1" t="str">
        <f>"男"</f>
        <v>男</v>
      </c>
      <c r="D659" s="1" t="str">
        <f t="shared" si="79"/>
        <v>汉族</v>
      </c>
      <c r="E659" s="1" t="str">
        <f>"15062182711"</f>
        <v>15062182711</v>
      </c>
      <c r="F659" s="1">
        <v>27</v>
      </c>
      <c r="G659" s="1">
        <v>11</v>
      </c>
      <c r="H659" s="5">
        <v>0</v>
      </c>
      <c r="I659" s="1">
        <v>0</v>
      </c>
      <c r="J659" s="1">
        <f t="shared" si="74"/>
        <v>0</v>
      </c>
    </row>
    <row r="660" spans="1:10">
      <c r="A660" s="1" t="s">
        <v>28</v>
      </c>
      <c r="B660" s="1" t="str">
        <f>"马彦"</f>
        <v>马彦</v>
      </c>
      <c r="C660" s="1" t="str">
        <f>"女"</f>
        <v>女</v>
      </c>
      <c r="D660" s="1" t="str">
        <f t="shared" si="79"/>
        <v>汉族</v>
      </c>
      <c r="E660" s="1" t="str">
        <f>"15062182712"</f>
        <v>15062182712</v>
      </c>
      <c r="F660" s="1">
        <v>27</v>
      </c>
      <c r="G660" s="1">
        <v>12</v>
      </c>
      <c r="H660" s="5">
        <v>0</v>
      </c>
      <c r="I660" s="1">
        <v>0</v>
      </c>
      <c r="J660" s="1">
        <f t="shared" si="74"/>
        <v>0</v>
      </c>
    </row>
    <row r="661" spans="1:10">
      <c r="A661" s="1" t="s">
        <v>28</v>
      </c>
      <c r="B661" s="1" t="str">
        <f>"邬磊"</f>
        <v>邬磊</v>
      </c>
      <c r="C661" s="1" t="str">
        <f>"男"</f>
        <v>男</v>
      </c>
      <c r="D661" s="1" t="str">
        <f t="shared" si="79"/>
        <v>汉族</v>
      </c>
      <c r="E661" s="1" t="str">
        <f>"15062182713"</f>
        <v>15062182713</v>
      </c>
      <c r="F661" s="1">
        <v>27</v>
      </c>
      <c r="G661" s="1">
        <v>13</v>
      </c>
      <c r="H661" s="5">
        <v>0</v>
      </c>
      <c r="I661" s="1">
        <v>0</v>
      </c>
      <c r="J661" s="1">
        <f t="shared" si="74"/>
        <v>0</v>
      </c>
    </row>
    <row r="662" spans="1:10">
      <c r="A662" s="1" t="s">
        <v>28</v>
      </c>
      <c r="B662" s="1" t="str">
        <f>"李伟"</f>
        <v>李伟</v>
      </c>
      <c r="C662" s="1" t="str">
        <f>"男"</f>
        <v>男</v>
      </c>
      <c r="D662" s="1" t="str">
        <f t="shared" si="79"/>
        <v>汉族</v>
      </c>
      <c r="E662" s="1" t="str">
        <f>"15062182714"</f>
        <v>15062182714</v>
      </c>
      <c r="F662" s="1">
        <v>27</v>
      </c>
      <c r="G662" s="1">
        <v>14</v>
      </c>
      <c r="H662" s="5">
        <v>48</v>
      </c>
      <c r="I662" s="1">
        <v>0</v>
      </c>
      <c r="J662" s="1">
        <f t="shared" si="74"/>
        <v>48</v>
      </c>
    </row>
    <row r="663" spans="1:10">
      <c r="A663" s="1" t="s">
        <v>28</v>
      </c>
      <c r="B663" s="1" t="str">
        <f>"关雅丹"</f>
        <v>关雅丹</v>
      </c>
      <c r="C663" s="1" t="str">
        <f>"女"</f>
        <v>女</v>
      </c>
      <c r="D663" s="1" t="str">
        <f t="shared" si="79"/>
        <v>汉族</v>
      </c>
      <c r="E663" s="1" t="str">
        <f>"15062182715"</f>
        <v>15062182715</v>
      </c>
      <c r="F663" s="1">
        <v>27</v>
      </c>
      <c r="G663" s="1">
        <v>15</v>
      </c>
      <c r="H663" s="5">
        <v>63</v>
      </c>
      <c r="I663" s="1">
        <v>0</v>
      </c>
      <c r="J663" s="1">
        <f t="shared" si="74"/>
        <v>63</v>
      </c>
    </row>
    <row r="664" spans="1:10">
      <c r="A664" s="1" t="s">
        <v>28</v>
      </c>
      <c r="B664" s="1" t="str">
        <f>" 张杨帅"</f>
        <v xml:space="preserve"> 张杨帅</v>
      </c>
      <c r="C664" s="1" t="str">
        <f>"男"</f>
        <v>男</v>
      </c>
      <c r="D664" s="1" t="str">
        <f t="shared" si="79"/>
        <v>汉族</v>
      </c>
      <c r="E664" s="1" t="str">
        <f>"15062182716"</f>
        <v>15062182716</v>
      </c>
      <c r="F664" s="1">
        <v>27</v>
      </c>
      <c r="G664" s="1">
        <v>16</v>
      </c>
      <c r="H664" s="5">
        <v>0</v>
      </c>
      <c r="I664" s="1">
        <v>0</v>
      </c>
      <c r="J664" s="1">
        <f t="shared" si="74"/>
        <v>0</v>
      </c>
    </row>
    <row r="665" spans="1:10">
      <c r="A665" s="1" t="s">
        <v>28</v>
      </c>
      <c r="B665" s="1" t="str">
        <f>"郝春雪"</f>
        <v>郝春雪</v>
      </c>
      <c r="C665" s="1" t="str">
        <f>"女"</f>
        <v>女</v>
      </c>
      <c r="D665" s="1" t="str">
        <f t="shared" si="79"/>
        <v>汉族</v>
      </c>
      <c r="E665" s="1" t="str">
        <f>"15062182717"</f>
        <v>15062182717</v>
      </c>
      <c r="F665" s="1">
        <v>27</v>
      </c>
      <c r="G665" s="1">
        <v>17</v>
      </c>
      <c r="H665" s="5">
        <v>55</v>
      </c>
      <c r="I665" s="1">
        <v>0</v>
      </c>
      <c r="J665" s="1">
        <f t="shared" ref="J665:J728" si="80">H665+I665</f>
        <v>55</v>
      </c>
    </row>
    <row r="666" spans="1:10">
      <c r="A666" s="1" t="s">
        <v>28</v>
      </c>
      <c r="B666" s="1" t="str">
        <f>"乌都尔玛"</f>
        <v>乌都尔玛</v>
      </c>
      <c r="C666" s="1" t="str">
        <f>"女"</f>
        <v>女</v>
      </c>
      <c r="D666" s="1" t="str">
        <f>"蒙古族"</f>
        <v>蒙古族</v>
      </c>
      <c r="E666" s="1" t="str">
        <f>"15062182718"</f>
        <v>15062182718</v>
      </c>
      <c r="F666" s="1">
        <v>27</v>
      </c>
      <c r="G666" s="1">
        <v>18</v>
      </c>
      <c r="H666" s="5">
        <v>46</v>
      </c>
      <c r="I666" s="1">
        <v>2.5</v>
      </c>
      <c r="J666" s="1">
        <f t="shared" si="80"/>
        <v>48.5</v>
      </c>
    </row>
    <row r="667" spans="1:10">
      <c r="A667" s="1" t="s">
        <v>28</v>
      </c>
      <c r="B667" s="1" t="str">
        <f>"张利"</f>
        <v>张利</v>
      </c>
      <c r="C667" s="1" t="str">
        <f>"女"</f>
        <v>女</v>
      </c>
      <c r="D667" s="1" t="str">
        <f>"汉族"</f>
        <v>汉族</v>
      </c>
      <c r="E667" s="1" t="str">
        <f>"15062182719"</f>
        <v>15062182719</v>
      </c>
      <c r="F667" s="1">
        <v>27</v>
      </c>
      <c r="G667" s="1">
        <v>19</v>
      </c>
      <c r="H667" s="5">
        <v>40</v>
      </c>
      <c r="I667" s="1">
        <v>0</v>
      </c>
      <c r="J667" s="1">
        <f t="shared" si="80"/>
        <v>40</v>
      </c>
    </row>
    <row r="668" spans="1:10">
      <c r="A668" s="1" t="s">
        <v>28</v>
      </c>
      <c r="B668" s="1" t="str">
        <f>"韩凤霞"</f>
        <v>韩凤霞</v>
      </c>
      <c r="C668" s="1" t="str">
        <f>"女"</f>
        <v>女</v>
      </c>
      <c r="D668" s="1" t="str">
        <f>"汉族"</f>
        <v>汉族</v>
      </c>
      <c r="E668" s="1" t="str">
        <f>"15062182720"</f>
        <v>15062182720</v>
      </c>
      <c r="F668" s="1">
        <v>27</v>
      </c>
      <c r="G668" s="1">
        <v>20</v>
      </c>
      <c r="H668" s="5">
        <v>60</v>
      </c>
      <c r="I668" s="1">
        <v>0</v>
      </c>
      <c r="J668" s="1">
        <f t="shared" si="80"/>
        <v>60</v>
      </c>
    </row>
    <row r="669" spans="1:10">
      <c r="A669" s="1" t="s">
        <v>28</v>
      </c>
      <c r="B669" s="1" t="str">
        <f>"高璐"</f>
        <v>高璐</v>
      </c>
      <c r="C669" s="1" t="str">
        <f>"女"</f>
        <v>女</v>
      </c>
      <c r="D669" s="1" t="str">
        <f>"汉族"</f>
        <v>汉族</v>
      </c>
      <c r="E669" s="1" t="str">
        <f>"15062182721"</f>
        <v>15062182721</v>
      </c>
      <c r="F669" s="1">
        <v>27</v>
      </c>
      <c r="G669" s="1">
        <v>21</v>
      </c>
      <c r="H669" s="5">
        <v>0</v>
      </c>
      <c r="I669" s="1">
        <v>0</v>
      </c>
      <c r="J669" s="1">
        <f t="shared" si="80"/>
        <v>0</v>
      </c>
    </row>
    <row r="670" spans="1:10">
      <c r="A670" s="1" t="s">
        <v>28</v>
      </c>
      <c r="B670" s="1" t="str">
        <f>"王胤博"</f>
        <v>王胤博</v>
      </c>
      <c r="C670" s="1" t="str">
        <f>"男"</f>
        <v>男</v>
      </c>
      <c r="D670" s="1" t="str">
        <f>"汉族"</f>
        <v>汉族</v>
      </c>
      <c r="E670" s="1" t="str">
        <f>"15062182722"</f>
        <v>15062182722</v>
      </c>
      <c r="F670" s="1">
        <v>27</v>
      </c>
      <c r="G670" s="1">
        <v>22</v>
      </c>
      <c r="H670" s="5">
        <v>70</v>
      </c>
      <c r="I670" s="1">
        <v>0</v>
      </c>
      <c r="J670" s="1">
        <f t="shared" si="80"/>
        <v>70</v>
      </c>
    </row>
    <row r="671" spans="1:10">
      <c r="A671" s="1" t="s">
        <v>28</v>
      </c>
      <c r="B671" s="1" t="str">
        <f>"常璐"</f>
        <v>常璐</v>
      </c>
      <c r="C671" s="1" t="str">
        <f t="shared" ref="C671:C679" si="81">"女"</f>
        <v>女</v>
      </c>
      <c r="D671" s="1" t="str">
        <f>"蒙古族"</f>
        <v>蒙古族</v>
      </c>
      <c r="E671" s="1" t="str">
        <f>"15062182723"</f>
        <v>15062182723</v>
      </c>
      <c r="F671" s="1">
        <v>27</v>
      </c>
      <c r="G671" s="1">
        <v>23</v>
      </c>
      <c r="H671" s="5">
        <v>0</v>
      </c>
      <c r="I671" s="1">
        <v>0</v>
      </c>
      <c r="J671" s="1">
        <f t="shared" si="80"/>
        <v>0</v>
      </c>
    </row>
    <row r="672" spans="1:10">
      <c r="A672" s="1" t="s">
        <v>28</v>
      </c>
      <c r="B672" s="1" t="str">
        <f>"苗苗"</f>
        <v>苗苗</v>
      </c>
      <c r="C672" s="1" t="str">
        <f t="shared" si="81"/>
        <v>女</v>
      </c>
      <c r="D672" s="1" t="str">
        <f t="shared" ref="D672:D677" si="82">"汉族"</f>
        <v>汉族</v>
      </c>
      <c r="E672" s="1" t="str">
        <f>"15062182724"</f>
        <v>15062182724</v>
      </c>
      <c r="F672" s="1">
        <v>27</v>
      </c>
      <c r="G672" s="1">
        <v>24</v>
      </c>
      <c r="H672" s="5">
        <v>0</v>
      </c>
      <c r="I672" s="1">
        <v>0</v>
      </c>
      <c r="J672" s="1">
        <f t="shared" si="80"/>
        <v>0</v>
      </c>
    </row>
    <row r="673" spans="1:10">
      <c r="A673" s="1" t="s">
        <v>28</v>
      </c>
      <c r="B673" s="1" t="str">
        <f>"王娜"</f>
        <v>王娜</v>
      </c>
      <c r="C673" s="1" t="str">
        <f t="shared" si="81"/>
        <v>女</v>
      </c>
      <c r="D673" s="1" t="str">
        <f t="shared" si="82"/>
        <v>汉族</v>
      </c>
      <c r="E673" s="1" t="str">
        <f>"15062182725"</f>
        <v>15062182725</v>
      </c>
      <c r="F673" s="1">
        <v>27</v>
      </c>
      <c r="G673" s="1">
        <v>25</v>
      </c>
      <c r="H673" s="5">
        <v>0</v>
      </c>
      <c r="I673" s="1">
        <v>0</v>
      </c>
      <c r="J673" s="1">
        <f t="shared" si="80"/>
        <v>0</v>
      </c>
    </row>
    <row r="674" spans="1:10">
      <c r="A674" s="1" t="s">
        <v>28</v>
      </c>
      <c r="B674" s="1" t="str">
        <f>"陈思佳"</f>
        <v>陈思佳</v>
      </c>
      <c r="C674" s="1" t="str">
        <f t="shared" si="81"/>
        <v>女</v>
      </c>
      <c r="D674" s="1" t="str">
        <f t="shared" si="82"/>
        <v>汉族</v>
      </c>
      <c r="E674" s="1" t="str">
        <f>"15062182726"</f>
        <v>15062182726</v>
      </c>
      <c r="F674" s="1">
        <v>27</v>
      </c>
      <c r="G674" s="1">
        <v>26</v>
      </c>
      <c r="H674" s="5">
        <v>83</v>
      </c>
      <c r="I674" s="1">
        <v>0</v>
      </c>
      <c r="J674" s="1">
        <f t="shared" si="80"/>
        <v>83</v>
      </c>
    </row>
    <row r="675" spans="1:10">
      <c r="A675" s="1" t="s">
        <v>28</v>
      </c>
      <c r="B675" s="1" t="str">
        <f>"陈美霞"</f>
        <v>陈美霞</v>
      </c>
      <c r="C675" s="1" t="str">
        <f t="shared" si="81"/>
        <v>女</v>
      </c>
      <c r="D675" s="1" t="str">
        <f t="shared" si="82"/>
        <v>汉族</v>
      </c>
      <c r="E675" s="1" t="str">
        <f>"15062182727"</f>
        <v>15062182727</v>
      </c>
      <c r="F675" s="1">
        <v>27</v>
      </c>
      <c r="G675" s="1">
        <v>27</v>
      </c>
      <c r="H675" s="5">
        <v>0</v>
      </c>
      <c r="I675" s="1">
        <v>0</v>
      </c>
      <c r="J675" s="1">
        <f t="shared" si="80"/>
        <v>0</v>
      </c>
    </row>
    <row r="676" spans="1:10">
      <c r="A676" s="1" t="s">
        <v>28</v>
      </c>
      <c r="B676" s="1" t="str">
        <f>"马媛媛"</f>
        <v>马媛媛</v>
      </c>
      <c r="C676" s="1" t="str">
        <f t="shared" si="81"/>
        <v>女</v>
      </c>
      <c r="D676" s="1" t="str">
        <f t="shared" si="82"/>
        <v>汉族</v>
      </c>
      <c r="E676" s="1" t="str">
        <f>"15062182728"</f>
        <v>15062182728</v>
      </c>
      <c r="F676" s="1">
        <v>27</v>
      </c>
      <c r="G676" s="1">
        <v>28</v>
      </c>
      <c r="H676" s="5">
        <v>61</v>
      </c>
      <c r="I676" s="1">
        <v>0</v>
      </c>
      <c r="J676" s="1">
        <f t="shared" si="80"/>
        <v>61</v>
      </c>
    </row>
    <row r="677" spans="1:10">
      <c r="A677" s="1" t="s">
        <v>28</v>
      </c>
      <c r="B677" s="1" t="str">
        <f>"郝婷"</f>
        <v>郝婷</v>
      </c>
      <c r="C677" s="1" t="str">
        <f t="shared" si="81"/>
        <v>女</v>
      </c>
      <c r="D677" s="1" t="str">
        <f t="shared" si="82"/>
        <v>汉族</v>
      </c>
      <c r="E677" s="1" t="str">
        <f>"15062182729"</f>
        <v>15062182729</v>
      </c>
      <c r="F677" s="1">
        <v>27</v>
      </c>
      <c r="G677" s="1">
        <v>29</v>
      </c>
      <c r="H677" s="5">
        <v>0</v>
      </c>
      <c r="I677" s="1">
        <v>0</v>
      </c>
      <c r="J677" s="1">
        <f t="shared" si="80"/>
        <v>0</v>
      </c>
    </row>
    <row r="678" spans="1:10">
      <c r="A678" s="1" t="s">
        <v>28</v>
      </c>
      <c r="B678" s="1" t="str">
        <f>"珠珊"</f>
        <v>珠珊</v>
      </c>
      <c r="C678" s="1" t="str">
        <f t="shared" si="81"/>
        <v>女</v>
      </c>
      <c r="D678" s="1" t="str">
        <f>"蒙古族"</f>
        <v>蒙古族</v>
      </c>
      <c r="E678" s="1" t="str">
        <f>"15062182730"</f>
        <v>15062182730</v>
      </c>
      <c r="F678" s="1">
        <v>27</v>
      </c>
      <c r="G678" s="1">
        <v>30</v>
      </c>
      <c r="H678" s="5">
        <v>62</v>
      </c>
      <c r="I678" s="1">
        <v>2.5</v>
      </c>
      <c r="J678" s="1">
        <f t="shared" si="80"/>
        <v>64.5</v>
      </c>
    </row>
    <row r="679" spans="1:10">
      <c r="A679" s="1" t="s">
        <v>28</v>
      </c>
      <c r="B679" s="1" t="str">
        <f>"杜娟"</f>
        <v>杜娟</v>
      </c>
      <c r="C679" s="1" t="str">
        <f t="shared" si="81"/>
        <v>女</v>
      </c>
      <c r="D679" s="1" t="str">
        <f>"蒙古族"</f>
        <v>蒙古族</v>
      </c>
      <c r="E679" s="1" t="str">
        <f>"15062182801"</f>
        <v>15062182801</v>
      </c>
      <c r="F679" s="1">
        <v>28</v>
      </c>
      <c r="G679" s="1">
        <v>1</v>
      </c>
      <c r="H679" s="5">
        <v>0</v>
      </c>
      <c r="I679" s="1">
        <v>0</v>
      </c>
      <c r="J679" s="1">
        <f t="shared" si="80"/>
        <v>0</v>
      </c>
    </row>
    <row r="680" spans="1:10">
      <c r="A680" s="1" t="s">
        <v>28</v>
      </c>
      <c r="B680" s="1" t="str">
        <f>"刘瑀洲"</f>
        <v>刘瑀洲</v>
      </c>
      <c r="C680" s="1" t="str">
        <f>"男"</f>
        <v>男</v>
      </c>
      <c r="D680" s="1" t="str">
        <f t="shared" ref="D680:D689" si="83">"汉族"</f>
        <v>汉族</v>
      </c>
      <c r="E680" s="1" t="str">
        <f>"15062182802"</f>
        <v>15062182802</v>
      </c>
      <c r="F680" s="1">
        <v>28</v>
      </c>
      <c r="G680" s="1">
        <v>2</v>
      </c>
      <c r="H680" s="5">
        <v>85</v>
      </c>
      <c r="I680" s="1">
        <v>0</v>
      </c>
      <c r="J680" s="1">
        <f t="shared" si="80"/>
        <v>85</v>
      </c>
    </row>
    <row r="681" spans="1:10">
      <c r="A681" s="1" t="s">
        <v>28</v>
      </c>
      <c r="B681" s="1" t="str">
        <f>"郝继梅"</f>
        <v>郝继梅</v>
      </c>
      <c r="C681" s="1" t="str">
        <f>"女"</f>
        <v>女</v>
      </c>
      <c r="D681" s="1" t="str">
        <f t="shared" si="83"/>
        <v>汉族</v>
      </c>
      <c r="E681" s="1" t="str">
        <f>"15062182803"</f>
        <v>15062182803</v>
      </c>
      <c r="F681" s="1">
        <v>28</v>
      </c>
      <c r="G681" s="1">
        <v>3</v>
      </c>
      <c r="H681" s="5">
        <v>0</v>
      </c>
      <c r="I681" s="1">
        <v>0</v>
      </c>
      <c r="J681" s="1">
        <f t="shared" si="80"/>
        <v>0</v>
      </c>
    </row>
    <row r="682" spans="1:10">
      <c r="A682" s="1" t="s">
        <v>28</v>
      </c>
      <c r="B682" s="1" t="str">
        <f>"贾羽"</f>
        <v>贾羽</v>
      </c>
      <c r="C682" s="1" t="str">
        <f>"男"</f>
        <v>男</v>
      </c>
      <c r="D682" s="1" t="str">
        <f t="shared" si="83"/>
        <v>汉族</v>
      </c>
      <c r="E682" s="1" t="str">
        <f>"15062182804"</f>
        <v>15062182804</v>
      </c>
      <c r="F682" s="1">
        <v>28</v>
      </c>
      <c r="G682" s="1">
        <v>4</v>
      </c>
      <c r="H682" s="5">
        <v>41</v>
      </c>
      <c r="I682" s="1">
        <v>0</v>
      </c>
      <c r="J682" s="1">
        <f t="shared" si="80"/>
        <v>41</v>
      </c>
    </row>
    <row r="683" spans="1:10">
      <c r="A683" s="1" t="s">
        <v>28</v>
      </c>
      <c r="B683" s="1" t="str">
        <f>"温云"</f>
        <v>温云</v>
      </c>
      <c r="C683" s="1" t="str">
        <f>"男"</f>
        <v>男</v>
      </c>
      <c r="D683" s="1" t="str">
        <f t="shared" si="83"/>
        <v>汉族</v>
      </c>
      <c r="E683" s="1" t="str">
        <f>"15062182805"</f>
        <v>15062182805</v>
      </c>
      <c r="F683" s="1">
        <v>28</v>
      </c>
      <c r="G683" s="1">
        <v>5</v>
      </c>
      <c r="H683" s="5">
        <v>45</v>
      </c>
      <c r="I683" s="1">
        <v>0</v>
      </c>
      <c r="J683" s="1">
        <f t="shared" si="80"/>
        <v>45</v>
      </c>
    </row>
    <row r="684" spans="1:10">
      <c r="A684" s="1" t="s">
        <v>28</v>
      </c>
      <c r="B684" s="1" t="str">
        <f>"张暄佼"</f>
        <v>张暄佼</v>
      </c>
      <c r="C684" s="1" t="str">
        <f t="shared" ref="C684:C689" si="84">"女"</f>
        <v>女</v>
      </c>
      <c r="D684" s="1" t="str">
        <f t="shared" si="83"/>
        <v>汉族</v>
      </c>
      <c r="E684" s="1" t="str">
        <f>"15062182806"</f>
        <v>15062182806</v>
      </c>
      <c r="F684" s="1">
        <v>28</v>
      </c>
      <c r="G684" s="1">
        <v>6</v>
      </c>
      <c r="H684" s="5">
        <v>0</v>
      </c>
      <c r="I684" s="1">
        <v>0</v>
      </c>
      <c r="J684" s="1">
        <f t="shared" si="80"/>
        <v>0</v>
      </c>
    </row>
    <row r="685" spans="1:10">
      <c r="A685" s="1" t="s">
        <v>28</v>
      </c>
      <c r="B685" s="1" t="str">
        <f>"郝俊旭"</f>
        <v>郝俊旭</v>
      </c>
      <c r="C685" s="1" t="str">
        <f t="shared" si="84"/>
        <v>女</v>
      </c>
      <c r="D685" s="1" t="str">
        <f t="shared" si="83"/>
        <v>汉族</v>
      </c>
      <c r="E685" s="1" t="str">
        <f>"15062182807"</f>
        <v>15062182807</v>
      </c>
      <c r="F685" s="1">
        <v>28</v>
      </c>
      <c r="G685" s="1">
        <v>7</v>
      </c>
      <c r="H685" s="5">
        <v>58</v>
      </c>
      <c r="I685" s="1">
        <v>0</v>
      </c>
      <c r="J685" s="1">
        <f t="shared" si="80"/>
        <v>58</v>
      </c>
    </row>
    <row r="686" spans="1:10">
      <c r="A686" s="1" t="s">
        <v>28</v>
      </c>
      <c r="B686" s="1" t="str">
        <f>"王瑞"</f>
        <v>王瑞</v>
      </c>
      <c r="C686" s="1" t="str">
        <f t="shared" si="84"/>
        <v>女</v>
      </c>
      <c r="D686" s="1" t="str">
        <f t="shared" si="83"/>
        <v>汉族</v>
      </c>
      <c r="E686" s="1" t="str">
        <f>"15062182808"</f>
        <v>15062182808</v>
      </c>
      <c r="F686" s="1">
        <v>28</v>
      </c>
      <c r="G686" s="1">
        <v>8</v>
      </c>
      <c r="H686" s="5">
        <v>54</v>
      </c>
      <c r="I686" s="1">
        <v>0</v>
      </c>
      <c r="J686" s="1">
        <f t="shared" si="80"/>
        <v>54</v>
      </c>
    </row>
    <row r="687" spans="1:10">
      <c r="A687" s="1" t="s">
        <v>28</v>
      </c>
      <c r="B687" s="1" t="str">
        <f>"韩英"</f>
        <v>韩英</v>
      </c>
      <c r="C687" s="1" t="str">
        <f t="shared" si="84"/>
        <v>女</v>
      </c>
      <c r="D687" s="1" t="str">
        <f t="shared" si="83"/>
        <v>汉族</v>
      </c>
      <c r="E687" s="1" t="str">
        <f>"15062182809"</f>
        <v>15062182809</v>
      </c>
      <c r="F687" s="1">
        <v>28</v>
      </c>
      <c r="G687" s="1">
        <v>9</v>
      </c>
      <c r="H687" s="5">
        <v>60</v>
      </c>
      <c r="I687" s="1">
        <v>0</v>
      </c>
      <c r="J687" s="1">
        <f t="shared" si="80"/>
        <v>60</v>
      </c>
    </row>
    <row r="688" spans="1:10">
      <c r="A688" s="1" t="s">
        <v>28</v>
      </c>
      <c r="B688" s="1" t="str">
        <f>"王晓艳"</f>
        <v>王晓艳</v>
      </c>
      <c r="C688" s="1" t="str">
        <f t="shared" si="84"/>
        <v>女</v>
      </c>
      <c r="D688" s="1" t="str">
        <f t="shared" si="83"/>
        <v>汉族</v>
      </c>
      <c r="E688" s="1" t="str">
        <f>"15062182810"</f>
        <v>15062182810</v>
      </c>
      <c r="F688" s="1">
        <v>28</v>
      </c>
      <c r="G688" s="1">
        <v>10</v>
      </c>
      <c r="H688" s="5">
        <v>0</v>
      </c>
      <c r="I688" s="1">
        <v>0</v>
      </c>
      <c r="J688" s="1">
        <f t="shared" si="80"/>
        <v>0</v>
      </c>
    </row>
    <row r="689" spans="1:10">
      <c r="A689" s="1" t="s">
        <v>28</v>
      </c>
      <c r="B689" s="1" t="str">
        <f>"雷蕾"</f>
        <v>雷蕾</v>
      </c>
      <c r="C689" s="1" t="str">
        <f t="shared" si="84"/>
        <v>女</v>
      </c>
      <c r="D689" s="1" t="str">
        <f t="shared" si="83"/>
        <v>汉族</v>
      </c>
      <c r="E689" s="1" t="str">
        <f>"15062182811"</f>
        <v>15062182811</v>
      </c>
      <c r="F689" s="1">
        <v>28</v>
      </c>
      <c r="G689" s="1">
        <v>11</v>
      </c>
      <c r="H689" s="5">
        <v>0</v>
      </c>
      <c r="I689" s="1">
        <v>0</v>
      </c>
      <c r="J689" s="1">
        <f t="shared" si="80"/>
        <v>0</v>
      </c>
    </row>
    <row r="690" spans="1:10">
      <c r="A690" s="1" t="s">
        <v>28</v>
      </c>
      <c r="B690" s="1" t="str">
        <f>"杨小军"</f>
        <v>杨小军</v>
      </c>
      <c r="C690" s="1" t="str">
        <f>"男"</f>
        <v>男</v>
      </c>
      <c r="D690" s="1" t="str">
        <f>"蒙古族"</f>
        <v>蒙古族</v>
      </c>
      <c r="E690" s="1" t="str">
        <f>"15062182812"</f>
        <v>15062182812</v>
      </c>
      <c r="F690" s="1">
        <v>28</v>
      </c>
      <c r="G690" s="1">
        <v>12</v>
      </c>
      <c r="H690" s="5">
        <v>57</v>
      </c>
      <c r="I690" s="1">
        <v>2.5</v>
      </c>
      <c r="J690" s="1">
        <f t="shared" si="80"/>
        <v>59.5</v>
      </c>
    </row>
    <row r="691" spans="1:10">
      <c r="A691" s="1" t="s">
        <v>28</v>
      </c>
      <c r="B691" s="1" t="str">
        <f>"赵敏"</f>
        <v>赵敏</v>
      </c>
      <c r="C691" s="1" t="str">
        <f t="shared" ref="C691:C701" si="85">"女"</f>
        <v>女</v>
      </c>
      <c r="D691" s="1" t="str">
        <f>"汉族"</f>
        <v>汉族</v>
      </c>
      <c r="E691" s="1" t="str">
        <f>"15062182813"</f>
        <v>15062182813</v>
      </c>
      <c r="F691" s="1">
        <v>28</v>
      </c>
      <c r="G691" s="1">
        <v>13</v>
      </c>
      <c r="H691" s="5">
        <v>71</v>
      </c>
      <c r="I691" s="1">
        <v>0</v>
      </c>
      <c r="J691" s="1">
        <f t="shared" si="80"/>
        <v>71</v>
      </c>
    </row>
    <row r="692" spans="1:10">
      <c r="A692" s="1" t="s">
        <v>28</v>
      </c>
      <c r="B692" s="1" t="str">
        <f>"李慧"</f>
        <v>李慧</v>
      </c>
      <c r="C692" s="1" t="str">
        <f t="shared" si="85"/>
        <v>女</v>
      </c>
      <c r="D692" s="1" t="str">
        <f>"汉族"</f>
        <v>汉族</v>
      </c>
      <c r="E692" s="1" t="str">
        <f>"15062182814"</f>
        <v>15062182814</v>
      </c>
      <c r="F692" s="1">
        <v>28</v>
      </c>
      <c r="G692" s="1">
        <v>14</v>
      </c>
      <c r="H692" s="5">
        <v>62</v>
      </c>
      <c r="I692" s="1">
        <v>0</v>
      </c>
      <c r="J692" s="1">
        <f t="shared" si="80"/>
        <v>62</v>
      </c>
    </row>
    <row r="693" spans="1:10">
      <c r="A693" s="1" t="s">
        <v>28</v>
      </c>
      <c r="B693" s="1" t="str">
        <f>"奇格乐"</f>
        <v>奇格乐</v>
      </c>
      <c r="C693" s="1" t="str">
        <f t="shared" si="85"/>
        <v>女</v>
      </c>
      <c r="D693" s="1" t="str">
        <f>"蒙古族"</f>
        <v>蒙古族</v>
      </c>
      <c r="E693" s="1" t="str">
        <f>"15062182815"</f>
        <v>15062182815</v>
      </c>
      <c r="F693" s="1">
        <v>28</v>
      </c>
      <c r="G693" s="1">
        <v>15</v>
      </c>
      <c r="H693" s="5">
        <v>36</v>
      </c>
      <c r="I693" s="1">
        <v>2.5</v>
      </c>
      <c r="J693" s="1">
        <f t="shared" si="80"/>
        <v>38.5</v>
      </c>
    </row>
    <row r="694" spans="1:10">
      <c r="A694" s="1" t="s">
        <v>28</v>
      </c>
      <c r="B694" s="1" t="str">
        <f>"杨娇"</f>
        <v>杨娇</v>
      </c>
      <c r="C694" s="1" t="str">
        <f t="shared" si="85"/>
        <v>女</v>
      </c>
      <c r="D694" s="1" t="str">
        <f t="shared" ref="D694:D703" si="86">"汉族"</f>
        <v>汉族</v>
      </c>
      <c r="E694" s="1" t="str">
        <f>"15062182816"</f>
        <v>15062182816</v>
      </c>
      <c r="F694" s="1">
        <v>28</v>
      </c>
      <c r="G694" s="1">
        <v>16</v>
      </c>
      <c r="H694" s="5">
        <v>0</v>
      </c>
      <c r="I694" s="1">
        <v>0</v>
      </c>
      <c r="J694" s="1">
        <f t="shared" si="80"/>
        <v>0</v>
      </c>
    </row>
    <row r="695" spans="1:10">
      <c r="A695" s="1" t="s">
        <v>28</v>
      </c>
      <c r="B695" s="1" t="str">
        <f>"赵爽"</f>
        <v>赵爽</v>
      </c>
      <c r="C695" s="1" t="str">
        <f t="shared" si="85"/>
        <v>女</v>
      </c>
      <c r="D695" s="1" t="str">
        <f t="shared" si="86"/>
        <v>汉族</v>
      </c>
      <c r="E695" s="1" t="str">
        <f>"15062182817"</f>
        <v>15062182817</v>
      </c>
      <c r="F695" s="1">
        <v>28</v>
      </c>
      <c r="G695" s="1">
        <v>17</v>
      </c>
      <c r="H695" s="5">
        <v>53</v>
      </c>
      <c r="I695" s="1">
        <v>0</v>
      </c>
      <c r="J695" s="1">
        <f t="shared" si="80"/>
        <v>53</v>
      </c>
    </row>
    <row r="696" spans="1:10">
      <c r="A696" s="1" t="s">
        <v>28</v>
      </c>
      <c r="B696" s="1" t="str">
        <f>"杨佳月"</f>
        <v>杨佳月</v>
      </c>
      <c r="C696" s="1" t="str">
        <f t="shared" si="85"/>
        <v>女</v>
      </c>
      <c r="D696" s="1" t="str">
        <f t="shared" si="86"/>
        <v>汉族</v>
      </c>
      <c r="E696" s="1" t="str">
        <f>"15062182818"</f>
        <v>15062182818</v>
      </c>
      <c r="F696" s="1">
        <v>28</v>
      </c>
      <c r="G696" s="1">
        <v>18</v>
      </c>
      <c r="H696" s="5">
        <v>61</v>
      </c>
      <c r="I696" s="1">
        <v>0</v>
      </c>
      <c r="J696" s="1">
        <f t="shared" si="80"/>
        <v>61</v>
      </c>
    </row>
    <row r="697" spans="1:10">
      <c r="A697" s="1" t="s">
        <v>28</v>
      </c>
      <c r="B697" s="1" t="str">
        <f>"王茹"</f>
        <v>王茹</v>
      </c>
      <c r="C697" s="1" t="str">
        <f t="shared" si="85"/>
        <v>女</v>
      </c>
      <c r="D697" s="1" t="str">
        <f t="shared" si="86"/>
        <v>汉族</v>
      </c>
      <c r="E697" s="1" t="str">
        <f>"15062182819"</f>
        <v>15062182819</v>
      </c>
      <c r="F697" s="1">
        <v>28</v>
      </c>
      <c r="G697" s="1">
        <v>19</v>
      </c>
      <c r="H697" s="5">
        <v>40</v>
      </c>
      <c r="I697" s="1">
        <v>0</v>
      </c>
      <c r="J697" s="1">
        <f t="shared" si="80"/>
        <v>40</v>
      </c>
    </row>
    <row r="698" spans="1:10">
      <c r="A698" s="1" t="s">
        <v>28</v>
      </c>
      <c r="B698" s="1" t="str">
        <f>"高懿洁"</f>
        <v>高懿洁</v>
      </c>
      <c r="C698" s="1" t="str">
        <f t="shared" si="85"/>
        <v>女</v>
      </c>
      <c r="D698" s="1" t="str">
        <f t="shared" si="86"/>
        <v>汉族</v>
      </c>
      <c r="E698" s="1" t="str">
        <f>"15062182820"</f>
        <v>15062182820</v>
      </c>
      <c r="F698" s="1">
        <v>28</v>
      </c>
      <c r="G698" s="1">
        <v>20</v>
      </c>
      <c r="H698" s="5">
        <v>0</v>
      </c>
      <c r="I698" s="1">
        <v>0</v>
      </c>
      <c r="J698" s="1">
        <f t="shared" si="80"/>
        <v>0</v>
      </c>
    </row>
    <row r="699" spans="1:10">
      <c r="A699" s="1" t="s">
        <v>28</v>
      </c>
      <c r="B699" s="1" t="str">
        <f>"白书瑶"</f>
        <v>白书瑶</v>
      </c>
      <c r="C699" s="1" t="str">
        <f t="shared" si="85"/>
        <v>女</v>
      </c>
      <c r="D699" s="1" t="str">
        <f t="shared" si="86"/>
        <v>汉族</v>
      </c>
      <c r="E699" s="1" t="str">
        <f>"15062182821"</f>
        <v>15062182821</v>
      </c>
      <c r="F699" s="1">
        <v>28</v>
      </c>
      <c r="G699" s="1">
        <v>21</v>
      </c>
      <c r="H699" s="5">
        <v>50</v>
      </c>
      <c r="I699" s="1">
        <v>0</v>
      </c>
      <c r="J699" s="1">
        <f t="shared" si="80"/>
        <v>50</v>
      </c>
    </row>
    <row r="700" spans="1:10">
      <c r="A700" s="1" t="s">
        <v>28</v>
      </c>
      <c r="B700" s="1" t="str">
        <f>"高波"</f>
        <v>高波</v>
      </c>
      <c r="C700" s="1" t="str">
        <f t="shared" si="85"/>
        <v>女</v>
      </c>
      <c r="D700" s="1" t="str">
        <f t="shared" si="86"/>
        <v>汉族</v>
      </c>
      <c r="E700" s="1" t="str">
        <f>"15062182822"</f>
        <v>15062182822</v>
      </c>
      <c r="F700" s="1">
        <v>28</v>
      </c>
      <c r="G700" s="1">
        <v>22</v>
      </c>
      <c r="H700" s="5">
        <v>53</v>
      </c>
      <c r="I700" s="1">
        <v>0</v>
      </c>
      <c r="J700" s="1">
        <f t="shared" si="80"/>
        <v>53</v>
      </c>
    </row>
    <row r="701" spans="1:10">
      <c r="A701" s="1" t="s">
        <v>28</v>
      </c>
      <c r="B701" s="1" t="str">
        <f>"李瑶"</f>
        <v>李瑶</v>
      </c>
      <c r="C701" s="1" t="str">
        <f t="shared" si="85"/>
        <v>女</v>
      </c>
      <c r="D701" s="1" t="str">
        <f t="shared" si="86"/>
        <v>汉族</v>
      </c>
      <c r="E701" s="1" t="str">
        <f>"15062182823"</f>
        <v>15062182823</v>
      </c>
      <c r="F701" s="1">
        <v>28</v>
      </c>
      <c r="G701" s="1">
        <v>23</v>
      </c>
      <c r="H701" s="5">
        <v>69</v>
      </c>
      <c r="I701" s="1">
        <v>0</v>
      </c>
      <c r="J701" s="1">
        <f t="shared" si="80"/>
        <v>69</v>
      </c>
    </row>
    <row r="702" spans="1:10">
      <c r="A702" s="1" t="s">
        <v>28</v>
      </c>
      <c r="B702" s="1" t="str">
        <f>"苏磊"</f>
        <v>苏磊</v>
      </c>
      <c r="C702" s="1" t="str">
        <f>"男"</f>
        <v>男</v>
      </c>
      <c r="D702" s="1" t="str">
        <f t="shared" si="86"/>
        <v>汉族</v>
      </c>
      <c r="E702" s="1" t="str">
        <f>"15062182824"</f>
        <v>15062182824</v>
      </c>
      <c r="F702" s="1">
        <v>28</v>
      </c>
      <c r="G702" s="1">
        <v>24</v>
      </c>
      <c r="H702" s="5">
        <v>0</v>
      </c>
      <c r="I702" s="1">
        <v>0</v>
      </c>
      <c r="J702" s="1">
        <f t="shared" si="80"/>
        <v>0</v>
      </c>
    </row>
    <row r="703" spans="1:10">
      <c r="A703" s="1" t="s">
        <v>28</v>
      </c>
      <c r="B703" s="1" t="str">
        <f>"边疆"</f>
        <v>边疆</v>
      </c>
      <c r="C703" s="1" t="str">
        <f>"男"</f>
        <v>男</v>
      </c>
      <c r="D703" s="1" t="str">
        <f t="shared" si="86"/>
        <v>汉族</v>
      </c>
      <c r="E703" s="1" t="str">
        <f>"15062182825"</f>
        <v>15062182825</v>
      </c>
      <c r="F703" s="1">
        <v>28</v>
      </c>
      <c r="G703" s="1">
        <v>25</v>
      </c>
      <c r="H703" s="5">
        <v>0</v>
      </c>
      <c r="I703" s="1">
        <v>0</v>
      </c>
      <c r="J703" s="1">
        <f t="shared" si="80"/>
        <v>0</v>
      </c>
    </row>
    <row r="704" spans="1:10">
      <c r="A704" s="1" t="s">
        <v>28</v>
      </c>
      <c r="B704" s="1" t="str">
        <f>"乌云玛"</f>
        <v>乌云玛</v>
      </c>
      <c r="C704" s="1" t="str">
        <f>"女"</f>
        <v>女</v>
      </c>
      <c r="D704" s="1" t="str">
        <f>"蒙古族"</f>
        <v>蒙古族</v>
      </c>
      <c r="E704" s="1" t="str">
        <f>"15062182826"</f>
        <v>15062182826</v>
      </c>
      <c r="F704" s="1">
        <v>28</v>
      </c>
      <c r="G704" s="1">
        <v>26</v>
      </c>
      <c r="H704" s="5">
        <v>0</v>
      </c>
      <c r="I704" s="1">
        <v>0</v>
      </c>
      <c r="J704" s="1">
        <f t="shared" si="80"/>
        <v>0</v>
      </c>
    </row>
    <row r="705" spans="1:10">
      <c r="A705" s="1" t="s">
        <v>28</v>
      </c>
      <c r="B705" s="1" t="str">
        <f>"牛宝传"</f>
        <v>牛宝传</v>
      </c>
      <c r="C705" s="1" t="str">
        <f>"男"</f>
        <v>男</v>
      </c>
      <c r="D705" s="1" t="str">
        <f t="shared" ref="D705:D712" si="87">"汉族"</f>
        <v>汉族</v>
      </c>
      <c r="E705" s="1" t="str">
        <f>"15062182827"</f>
        <v>15062182827</v>
      </c>
      <c r="F705" s="1">
        <v>28</v>
      </c>
      <c r="G705" s="1">
        <v>27</v>
      </c>
      <c r="H705" s="5">
        <v>43</v>
      </c>
      <c r="I705" s="1">
        <v>0</v>
      </c>
      <c r="J705" s="1">
        <f t="shared" si="80"/>
        <v>43</v>
      </c>
    </row>
    <row r="706" spans="1:10">
      <c r="A706" s="1" t="s">
        <v>28</v>
      </c>
      <c r="B706" s="1" t="str">
        <f>"刘相麟"</f>
        <v>刘相麟</v>
      </c>
      <c r="C706" s="1" t="str">
        <f>"女"</f>
        <v>女</v>
      </c>
      <c r="D706" s="1" t="str">
        <f t="shared" si="87"/>
        <v>汉族</v>
      </c>
      <c r="E706" s="1" t="str">
        <f>"15062182828"</f>
        <v>15062182828</v>
      </c>
      <c r="F706" s="1">
        <v>28</v>
      </c>
      <c r="G706" s="1">
        <v>28</v>
      </c>
      <c r="H706" s="5">
        <v>57</v>
      </c>
      <c r="I706" s="1">
        <v>0</v>
      </c>
      <c r="J706" s="1">
        <f t="shared" si="80"/>
        <v>57</v>
      </c>
    </row>
    <row r="707" spans="1:10">
      <c r="A707" s="1" t="s">
        <v>28</v>
      </c>
      <c r="B707" s="1" t="str">
        <f>"王娟"</f>
        <v>王娟</v>
      </c>
      <c r="C707" s="1" t="str">
        <f>"女"</f>
        <v>女</v>
      </c>
      <c r="D707" s="1" t="str">
        <f t="shared" si="87"/>
        <v>汉族</v>
      </c>
      <c r="E707" s="1" t="str">
        <f>"15062182829"</f>
        <v>15062182829</v>
      </c>
      <c r="F707" s="1">
        <v>28</v>
      </c>
      <c r="G707" s="1">
        <v>29</v>
      </c>
      <c r="H707" s="5">
        <v>0</v>
      </c>
      <c r="I707" s="1">
        <v>0</v>
      </c>
      <c r="J707" s="1">
        <f t="shared" si="80"/>
        <v>0</v>
      </c>
    </row>
    <row r="708" spans="1:10">
      <c r="A708" s="1" t="s">
        <v>28</v>
      </c>
      <c r="B708" s="1" t="str">
        <f>"贺润军"</f>
        <v>贺润军</v>
      </c>
      <c r="C708" s="1" t="str">
        <f>"男"</f>
        <v>男</v>
      </c>
      <c r="D708" s="1" t="str">
        <f t="shared" si="87"/>
        <v>汉族</v>
      </c>
      <c r="E708" s="1" t="str">
        <f>"15062182830"</f>
        <v>15062182830</v>
      </c>
      <c r="F708" s="1">
        <v>28</v>
      </c>
      <c r="G708" s="1">
        <v>30</v>
      </c>
      <c r="H708" s="5">
        <v>0</v>
      </c>
      <c r="I708" s="1">
        <v>0</v>
      </c>
      <c r="J708" s="1">
        <f t="shared" si="80"/>
        <v>0</v>
      </c>
    </row>
    <row r="709" spans="1:10">
      <c r="A709" s="1" t="s">
        <v>28</v>
      </c>
      <c r="B709" s="1" t="str">
        <f>"王懋林"</f>
        <v>王懋林</v>
      </c>
      <c r="C709" s="1" t="str">
        <f>"男"</f>
        <v>男</v>
      </c>
      <c r="D709" s="1" t="str">
        <f t="shared" si="87"/>
        <v>汉族</v>
      </c>
      <c r="E709" s="1" t="str">
        <f>"15062182901"</f>
        <v>15062182901</v>
      </c>
      <c r="F709" s="1">
        <v>29</v>
      </c>
      <c r="G709" s="1">
        <v>1</v>
      </c>
      <c r="H709" s="5">
        <v>51</v>
      </c>
      <c r="I709" s="1">
        <v>0</v>
      </c>
      <c r="J709" s="1">
        <f t="shared" si="80"/>
        <v>51</v>
      </c>
    </row>
    <row r="710" spans="1:10">
      <c r="A710" s="1" t="s">
        <v>28</v>
      </c>
      <c r="B710" s="1" t="str">
        <f>"屈芳瑞"</f>
        <v>屈芳瑞</v>
      </c>
      <c r="C710" s="1" t="str">
        <f>"女"</f>
        <v>女</v>
      </c>
      <c r="D710" s="1" t="str">
        <f t="shared" si="87"/>
        <v>汉族</v>
      </c>
      <c r="E710" s="1" t="str">
        <f>"15062182902"</f>
        <v>15062182902</v>
      </c>
      <c r="F710" s="1">
        <v>29</v>
      </c>
      <c r="G710" s="1">
        <v>2</v>
      </c>
      <c r="H710" s="5">
        <v>0</v>
      </c>
      <c r="I710" s="1">
        <v>0</v>
      </c>
      <c r="J710" s="1">
        <f t="shared" si="80"/>
        <v>0</v>
      </c>
    </row>
    <row r="711" spans="1:10">
      <c r="A711" s="1" t="s">
        <v>28</v>
      </c>
      <c r="B711" s="1" t="str">
        <f>"郭宇青"</f>
        <v>郭宇青</v>
      </c>
      <c r="C711" s="1" t="str">
        <f>"男"</f>
        <v>男</v>
      </c>
      <c r="D711" s="1" t="str">
        <f t="shared" si="87"/>
        <v>汉族</v>
      </c>
      <c r="E711" s="1" t="str">
        <f>"15062182903"</f>
        <v>15062182903</v>
      </c>
      <c r="F711" s="1">
        <v>29</v>
      </c>
      <c r="G711" s="1">
        <v>3</v>
      </c>
      <c r="H711" s="5">
        <v>63</v>
      </c>
      <c r="I711" s="1">
        <v>0</v>
      </c>
      <c r="J711" s="1">
        <f t="shared" si="80"/>
        <v>63</v>
      </c>
    </row>
    <row r="712" spans="1:10">
      <c r="A712" s="1" t="s">
        <v>28</v>
      </c>
      <c r="B712" s="1" t="str">
        <f>"王建"</f>
        <v>王建</v>
      </c>
      <c r="C712" s="1" t="str">
        <f>"男"</f>
        <v>男</v>
      </c>
      <c r="D712" s="1" t="str">
        <f t="shared" si="87"/>
        <v>汉族</v>
      </c>
      <c r="E712" s="1" t="str">
        <f>"15062182904"</f>
        <v>15062182904</v>
      </c>
      <c r="F712" s="1">
        <v>29</v>
      </c>
      <c r="G712" s="1">
        <v>4</v>
      </c>
      <c r="H712" s="5">
        <v>53</v>
      </c>
      <c r="I712" s="1">
        <v>0</v>
      </c>
      <c r="J712" s="1">
        <f t="shared" si="80"/>
        <v>53</v>
      </c>
    </row>
    <row r="713" spans="1:10">
      <c r="A713" s="1" t="s">
        <v>28</v>
      </c>
      <c r="B713" s="1" t="str">
        <f>"哈斯布鲁尔"</f>
        <v>哈斯布鲁尔</v>
      </c>
      <c r="C713" s="1" t="str">
        <f>"男"</f>
        <v>男</v>
      </c>
      <c r="D713" s="1" t="str">
        <f>"蒙古族"</f>
        <v>蒙古族</v>
      </c>
      <c r="E713" s="1" t="str">
        <f>"15062182905"</f>
        <v>15062182905</v>
      </c>
      <c r="F713" s="1">
        <v>29</v>
      </c>
      <c r="G713" s="1">
        <v>5</v>
      </c>
      <c r="H713" s="5">
        <v>70</v>
      </c>
      <c r="I713" s="1">
        <v>2.5</v>
      </c>
      <c r="J713" s="1">
        <f t="shared" si="80"/>
        <v>72.5</v>
      </c>
    </row>
    <row r="714" spans="1:10">
      <c r="A714" s="1" t="s">
        <v>28</v>
      </c>
      <c r="B714" s="1" t="str">
        <f>"马坤"</f>
        <v>马坤</v>
      </c>
      <c r="C714" s="1" t="str">
        <f>"女"</f>
        <v>女</v>
      </c>
      <c r="D714" s="1" t="str">
        <f>"蒙古族"</f>
        <v>蒙古族</v>
      </c>
      <c r="E714" s="1" t="str">
        <f>"15062182906"</f>
        <v>15062182906</v>
      </c>
      <c r="F714" s="1">
        <v>29</v>
      </c>
      <c r="G714" s="1">
        <v>6</v>
      </c>
      <c r="H714" s="5">
        <v>47</v>
      </c>
      <c r="I714" s="1">
        <v>2.5</v>
      </c>
      <c r="J714" s="1">
        <f t="shared" si="80"/>
        <v>49.5</v>
      </c>
    </row>
    <row r="715" spans="1:10">
      <c r="A715" s="1" t="s">
        <v>28</v>
      </c>
      <c r="B715" s="1" t="str">
        <f>"石翀"</f>
        <v>石翀</v>
      </c>
      <c r="C715" s="1" t="str">
        <f>"女"</f>
        <v>女</v>
      </c>
      <c r="D715" s="1" t="str">
        <f t="shared" ref="D715:D726" si="88">"汉族"</f>
        <v>汉族</v>
      </c>
      <c r="E715" s="1" t="str">
        <f>"15062182907"</f>
        <v>15062182907</v>
      </c>
      <c r="F715" s="1">
        <v>29</v>
      </c>
      <c r="G715" s="1">
        <v>7</v>
      </c>
      <c r="H715" s="5">
        <v>45</v>
      </c>
      <c r="I715" s="1">
        <v>0</v>
      </c>
      <c r="J715" s="1">
        <f t="shared" si="80"/>
        <v>45</v>
      </c>
    </row>
    <row r="716" spans="1:10">
      <c r="A716" s="1" t="s">
        <v>28</v>
      </c>
      <c r="B716" s="1" t="str">
        <f>"辛向伦"</f>
        <v>辛向伦</v>
      </c>
      <c r="C716" s="1" t="str">
        <f>"男"</f>
        <v>男</v>
      </c>
      <c r="D716" s="1" t="str">
        <f t="shared" si="88"/>
        <v>汉族</v>
      </c>
      <c r="E716" s="1" t="str">
        <f>"15062182908"</f>
        <v>15062182908</v>
      </c>
      <c r="F716" s="1">
        <v>29</v>
      </c>
      <c r="G716" s="1">
        <v>8</v>
      </c>
      <c r="H716" s="5">
        <v>66</v>
      </c>
      <c r="I716" s="1">
        <v>0</v>
      </c>
      <c r="J716" s="1">
        <f t="shared" si="80"/>
        <v>66</v>
      </c>
    </row>
    <row r="717" spans="1:10">
      <c r="A717" s="1" t="s">
        <v>28</v>
      </c>
      <c r="B717" s="1" t="str">
        <f>"尚宇琴"</f>
        <v>尚宇琴</v>
      </c>
      <c r="C717" s="1" t="str">
        <f>"女"</f>
        <v>女</v>
      </c>
      <c r="D717" s="1" t="str">
        <f t="shared" si="88"/>
        <v>汉族</v>
      </c>
      <c r="E717" s="1" t="str">
        <f>"15062182909"</f>
        <v>15062182909</v>
      </c>
      <c r="F717" s="1">
        <v>29</v>
      </c>
      <c r="G717" s="1">
        <v>9</v>
      </c>
      <c r="H717" s="5">
        <v>38</v>
      </c>
      <c r="I717" s="1">
        <v>0</v>
      </c>
      <c r="J717" s="1">
        <f t="shared" si="80"/>
        <v>38</v>
      </c>
    </row>
    <row r="718" spans="1:10">
      <c r="A718" s="1" t="s">
        <v>28</v>
      </c>
      <c r="B718" s="1" t="str">
        <f>"王艺彭"</f>
        <v>王艺彭</v>
      </c>
      <c r="C718" s="1" t="str">
        <f>"男"</f>
        <v>男</v>
      </c>
      <c r="D718" s="1" t="str">
        <f t="shared" si="88"/>
        <v>汉族</v>
      </c>
      <c r="E718" s="1" t="str">
        <f>"15062182910"</f>
        <v>15062182910</v>
      </c>
      <c r="F718" s="1">
        <v>29</v>
      </c>
      <c r="G718" s="1">
        <v>10</v>
      </c>
      <c r="H718" s="5">
        <v>0</v>
      </c>
      <c r="I718" s="1">
        <v>0</v>
      </c>
      <c r="J718" s="1">
        <f t="shared" si="80"/>
        <v>0</v>
      </c>
    </row>
    <row r="719" spans="1:10">
      <c r="A719" s="1" t="s">
        <v>28</v>
      </c>
      <c r="B719" s="1" t="str">
        <f>"甄智超"</f>
        <v>甄智超</v>
      </c>
      <c r="C719" s="1" t="str">
        <f>"男"</f>
        <v>男</v>
      </c>
      <c r="D719" s="1" t="str">
        <f t="shared" si="88"/>
        <v>汉族</v>
      </c>
      <c r="E719" s="1" t="str">
        <f>"15062182911"</f>
        <v>15062182911</v>
      </c>
      <c r="F719" s="1">
        <v>29</v>
      </c>
      <c r="G719" s="1">
        <v>11</v>
      </c>
      <c r="H719" s="5">
        <v>42</v>
      </c>
      <c r="I719" s="1">
        <v>0</v>
      </c>
      <c r="J719" s="1">
        <f t="shared" si="80"/>
        <v>42</v>
      </c>
    </row>
    <row r="720" spans="1:10">
      <c r="A720" s="1" t="s">
        <v>28</v>
      </c>
      <c r="B720" s="1" t="str">
        <f>"单诗杰"</f>
        <v>单诗杰</v>
      </c>
      <c r="C720" s="1" t="str">
        <f>"男"</f>
        <v>男</v>
      </c>
      <c r="D720" s="1" t="str">
        <f t="shared" si="88"/>
        <v>汉族</v>
      </c>
      <c r="E720" s="1" t="str">
        <f>"15062182912"</f>
        <v>15062182912</v>
      </c>
      <c r="F720" s="1">
        <v>29</v>
      </c>
      <c r="G720" s="1">
        <v>12</v>
      </c>
      <c r="H720" s="5">
        <v>0</v>
      </c>
      <c r="I720" s="1">
        <v>0</v>
      </c>
      <c r="J720" s="1">
        <f t="shared" si="80"/>
        <v>0</v>
      </c>
    </row>
    <row r="721" spans="1:10">
      <c r="A721" s="1" t="s">
        <v>28</v>
      </c>
      <c r="B721" s="1" t="str">
        <f>"石智宁"</f>
        <v>石智宁</v>
      </c>
      <c r="C721" s="1" t="str">
        <f>"男"</f>
        <v>男</v>
      </c>
      <c r="D721" s="1" t="str">
        <f t="shared" si="88"/>
        <v>汉族</v>
      </c>
      <c r="E721" s="1" t="str">
        <f>"15062182913"</f>
        <v>15062182913</v>
      </c>
      <c r="F721" s="1">
        <v>29</v>
      </c>
      <c r="G721" s="1">
        <v>13</v>
      </c>
      <c r="H721" s="5">
        <v>59</v>
      </c>
      <c r="I721" s="1">
        <v>0</v>
      </c>
      <c r="J721" s="1">
        <f t="shared" si="80"/>
        <v>59</v>
      </c>
    </row>
    <row r="722" spans="1:10">
      <c r="A722" s="1" t="s">
        <v>28</v>
      </c>
      <c r="B722" s="1" t="str">
        <f>"边志娥"</f>
        <v>边志娥</v>
      </c>
      <c r="C722" s="1" t="str">
        <f>"女"</f>
        <v>女</v>
      </c>
      <c r="D722" s="1" t="str">
        <f t="shared" si="88"/>
        <v>汉族</v>
      </c>
      <c r="E722" s="1" t="str">
        <f>"15062182914"</f>
        <v>15062182914</v>
      </c>
      <c r="F722" s="1">
        <v>29</v>
      </c>
      <c r="G722" s="1">
        <v>14</v>
      </c>
      <c r="H722" s="5">
        <v>0</v>
      </c>
      <c r="I722" s="1">
        <v>0</v>
      </c>
      <c r="J722" s="1">
        <f t="shared" si="80"/>
        <v>0</v>
      </c>
    </row>
    <row r="723" spans="1:10">
      <c r="A723" s="1" t="s">
        <v>28</v>
      </c>
      <c r="B723" s="1" t="str">
        <f>"武岳"</f>
        <v>武岳</v>
      </c>
      <c r="C723" s="1" t="str">
        <f>"女"</f>
        <v>女</v>
      </c>
      <c r="D723" s="1" t="str">
        <f t="shared" si="88"/>
        <v>汉族</v>
      </c>
      <c r="E723" s="1" t="str">
        <f>"15062182915"</f>
        <v>15062182915</v>
      </c>
      <c r="F723" s="1">
        <v>29</v>
      </c>
      <c r="G723" s="1">
        <v>15</v>
      </c>
      <c r="H723" s="5">
        <v>54</v>
      </c>
      <c r="I723" s="1">
        <v>0</v>
      </c>
      <c r="J723" s="1">
        <f t="shared" si="80"/>
        <v>54</v>
      </c>
    </row>
    <row r="724" spans="1:10">
      <c r="A724" s="1" t="s">
        <v>28</v>
      </c>
      <c r="B724" s="1" t="str">
        <f>"宋越"</f>
        <v>宋越</v>
      </c>
      <c r="C724" s="1" t="str">
        <f>"女"</f>
        <v>女</v>
      </c>
      <c r="D724" s="1" t="str">
        <f t="shared" si="88"/>
        <v>汉族</v>
      </c>
      <c r="E724" s="1" t="str">
        <f>"15062182916"</f>
        <v>15062182916</v>
      </c>
      <c r="F724" s="1">
        <v>29</v>
      </c>
      <c r="G724" s="1">
        <v>16</v>
      </c>
      <c r="H724" s="5">
        <v>0</v>
      </c>
      <c r="I724" s="1">
        <v>0</v>
      </c>
      <c r="J724" s="1">
        <f t="shared" si="80"/>
        <v>0</v>
      </c>
    </row>
    <row r="725" spans="1:10">
      <c r="A725" s="1" t="s">
        <v>28</v>
      </c>
      <c r="B725" s="1" t="str">
        <f>"李圣文"</f>
        <v>李圣文</v>
      </c>
      <c r="C725" s="1" t="str">
        <f>"男"</f>
        <v>男</v>
      </c>
      <c r="D725" s="1" t="str">
        <f t="shared" si="88"/>
        <v>汉族</v>
      </c>
      <c r="E725" s="1" t="str">
        <f>"15062182917"</f>
        <v>15062182917</v>
      </c>
      <c r="F725" s="1">
        <v>29</v>
      </c>
      <c r="G725" s="1">
        <v>17</v>
      </c>
      <c r="H725" s="5">
        <v>44</v>
      </c>
      <c r="I725" s="1">
        <v>0</v>
      </c>
      <c r="J725" s="1">
        <f t="shared" si="80"/>
        <v>44</v>
      </c>
    </row>
    <row r="726" spans="1:10">
      <c r="A726" s="1" t="s">
        <v>28</v>
      </c>
      <c r="B726" s="1" t="str">
        <f>"陈江"</f>
        <v>陈江</v>
      </c>
      <c r="C726" s="1" t="str">
        <f>"女"</f>
        <v>女</v>
      </c>
      <c r="D726" s="1" t="str">
        <f t="shared" si="88"/>
        <v>汉族</v>
      </c>
      <c r="E726" s="1" t="str">
        <f>"15062182918"</f>
        <v>15062182918</v>
      </c>
      <c r="F726" s="1">
        <v>29</v>
      </c>
      <c r="G726" s="1">
        <v>18</v>
      </c>
      <c r="H726" s="5">
        <v>0</v>
      </c>
      <c r="I726" s="1">
        <v>0</v>
      </c>
      <c r="J726" s="1">
        <f t="shared" si="80"/>
        <v>0</v>
      </c>
    </row>
    <row r="727" spans="1:10">
      <c r="A727" s="1" t="s">
        <v>28</v>
      </c>
      <c r="B727" s="1" t="str">
        <f>"敖特根"</f>
        <v>敖特根</v>
      </c>
      <c r="C727" s="1" t="str">
        <f>"女"</f>
        <v>女</v>
      </c>
      <c r="D727" s="1" t="str">
        <f>"蒙古族"</f>
        <v>蒙古族</v>
      </c>
      <c r="E727" s="1" t="str">
        <f>"15062182919"</f>
        <v>15062182919</v>
      </c>
      <c r="F727" s="1">
        <v>29</v>
      </c>
      <c r="G727" s="1">
        <v>19</v>
      </c>
      <c r="H727" s="5">
        <v>0</v>
      </c>
      <c r="I727" s="1">
        <v>0</v>
      </c>
      <c r="J727" s="1">
        <f t="shared" si="80"/>
        <v>0</v>
      </c>
    </row>
    <row r="728" spans="1:10">
      <c r="A728" s="1" t="s">
        <v>28</v>
      </c>
      <c r="B728" s="1" t="str">
        <f>"郭志军"</f>
        <v>郭志军</v>
      </c>
      <c r="C728" s="1" t="str">
        <f>"男"</f>
        <v>男</v>
      </c>
      <c r="D728" s="1" t="str">
        <f t="shared" ref="D728:D746" si="89">"汉族"</f>
        <v>汉族</v>
      </c>
      <c r="E728" s="1" t="str">
        <f>"15062182920"</f>
        <v>15062182920</v>
      </c>
      <c r="F728" s="1">
        <v>29</v>
      </c>
      <c r="G728" s="1">
        <v>20</v>
      </c>
      <c r="H728" s="5">
        <v>0</v>
      </c>
      <c r="I728" s="1">
        <v>0</v>
      </c>
      <c r="J728" s="1">
        <f t="shared" si="80"/>
        <v>0</v>
      </c>
    </row>
    <row r="729" spans="1:10">
      <c r="A729" s="1" t="s">
        <v>28</v>
      </c>
      <c r="B729" s="1" t="str">
        <f>"胡嘉峻"</f>
        <v>胡嘉峻</v>
      </c>
      <c r="C729" s="1" t="str">
        <f>"女"</f>
        <v>女</v>
      </c>
      <c r="D729" s="1" t="str">
        <f t="shared" si="89"/>
        <v>汉族</v>
      </c>
      <c r="E729" s="1" t="str">
        <f>"15062182921"</f>
        <v>15062182921</v>
      </c>
      <c r="F729" s="1">
        <v>29</v>
      </c>
      <c r="G729" s="1">
        <v>21</v>
      </c>
      <c r="H729" s="5">
        <v>50</v>
      </c>
      <c r="I729" s="1">
        <v>0</v>
      </c>
      <c r="J729" s="1">
        <f t="shared" ref="J729:J792" si="90">H729+I729</f>
        <v>50</v>
      </c>
    </row>
    <row r="730" spans="1:10">
      <c r="A730" s="1" t="s">
        <v>28</v>
      </c>
      <c r="B730" s="1" t="str">
        <f>"王小静"</f>
        <v>王小静</v>
      </c>
      <c r="C730" s="1" t="str">
        <f>"女"</f>
        <v>女</v>
      </c>
      <c r="D730" s="1" t="str">
        <f t="shared" si="89"/>
        <v>汉族</v>
      </c>
      <c r="E730" s="1" t="str">
        <f>"15062182922"</f>
        <v>15062182922</v>
      </c>
      <c r="F730" s="1">
        <v>29</v>
      </c>
      <c r="G730" s="1">
        <v>22</v>
      </c>
      <c r="H730" s="5">
        <v>0</v>
      </c>
      <c r="I730" s="1">
        <v>0</v>
      </c>
      <c r="J730" s="1">
        <f t="shared" si="90"/>
        <v>0</v>
      </c>
    </row>
    <row r="731" spans="1:10">
      <c r="A731" s="1" t="s">
        <v>28</v>
      </c>
      <c r="B731" s="1" t="str">
        <f>"赵星"</f>
        <v>赵星</v>
      </c>
      <c r="C731" s="1" t="str">
        <f>"女"</f>
        <v>女</v>
      </c>
      <c r="D731" s="1" t="str">
        <f t="shared" si="89"/>
        <v>汉族</v>
      </c>
      <c r="E731" s="1" t="str">
        <f>"15062182923"</f>
        <v>15062182923</v>
      </c>
      <c r="F731" s="1">
        <v>29</v>
      </c>
      <c r="G731" s="1">
        <v>23</v>
      </c>
      <c r="H731" s="5">
        <v>45</v>
      </c>
      <c r="I731" s="1">
        <v>0</v>
      </c>
      <c r="J731" s="1">
        <f t="shared" si="90"/>
        <v>45</v>
      </c>
    </row>
    <row r="732" spans="1:10">
      <c r="A732" s="1" t="s">
        <v>28</v>
      </c>
      <c r="B732" s="1" t="str">
        <f>"邬雨桐"</f>
        <v>邬雨桐</v>
      </c>
      <c r="C732" s="1" t="str">
        <f>"女"</f>
        <v>女</v>
      </c>
      <c r="D732" s="1" t="str">
        <f t="shared" si="89"/>
        <v>汉族</v>
      </c>
      <c r="E732" s="1" t="str">
        <f>"15062182924"</f>
        <v>15062182924</v>
      </c>
      <c r="F732" s="1">
        <v>29</v>
      </c>
      <c r="G732" s="1">
        <v>24</v>
      </c>
      <c r="H732" s="5">
        <v>61</v>
      </c>
      <c r="I732" s="1">
        <v>0</v>
      </c>
      <c r="J732" s="1">
        <f t="shared" si="90"/>
        <v>61</v>
      </c>
    </row>
    <row r="733" spans="1:10">
      <c r="A733" s="1" t="s">
        <v>28</v>
      </c>
      <c r="B733" s="1" t="str">
        <f>"陈乐"</f>
        <v>陈乐</v>
      </c>
      <c r="C733" s="1" t="str">
        <f>"男"</f>
        <v>男</v>
      </c>
      <c r="D733" s="1" t="str">
        <f t="shared" si="89"/>
        <v>汉族</v>
      </c>
      <c r="E733" s="1" t="str">
        <f>"15062182925"</f>
        <v>15062182925</v>
      </c>
      <c r="F733" s="1">
        <v>29</v>
      </c>
      <c r="G733" s="1">
        <v>25</v>
      </c>
      <c r="H733" s="5">
        <v>0</v>
      </c>
      <c r="I733" s="1">
        <v>0</v>
      </c>
      <c r="J733" s="1">
        <f t="shared" si="90"/>
        <v>0</v>
      </c>
    </row>
    <row r="734" spans="1:10">
      <c r="A734" s="1" t="s">
        <v>28</v>
      </c>
      <c r="B734" s="1" t="str">
        <f>"李鹏"</f>
        <v>李鹏</v>
      </c>
      <c r="C734" s="1" t="str">
        <f>"男"</f>
        <v>男</v>
      </c>
      <c r="D734" s="1" t="str">
        <f t="shared" si="89"/>
        <v>汉族</v>
      </c>
      <c r="E734" s="1" t="str">
        <f>"15062182926"</f>
        <v>15062182926</v>
      </c>
      <c r="F734" s="1">
        <v>29</v>
      </c>
      <c r="G734" s="1">
        <v>26</v>
      </c>
      <c r="H734" s="5">
        <v>51</v>
      </c>
      <c r="I734" s="1">
        <v>0</v>
      </c>
      <c r="J734" s="1">
        <f t="shared" si="90"/>
        <v>51</v>
      </c>
    </row>
    <row r="735" spans="1:10">
      <c r="A735" s="1" t="s">
        <v>28</v>
      </c>
      <c r="B735" s="1" t="str">
        <f>"刘阳"</f>
        <v>刘阳</v>
      </c>
      <c r="C735" s="1" t="str">
        <f>"女"</f>
        <v>女</v>
      </c>
      <c r="D735" s="1" t="str">
        <f t="shared" si="89"/>
        <v>汉族</v>
      </c>
      <c r="E735" s="1" t="str">
        <f>"15062182927"</f>
        <v>15062182927</v>
      </c>
      <c r="F735" s="1">
        <v>29</v>
      </c>
      <c r="G735" s="1">
        <v>27</v>
      </c>
      <c r="H735" s="5">
        <v>53</v>
      </c>
      <c r="I735" s="1">
        <v>0</v>
      </c>
      <c r="J735" s="1">
        <f t="shared" si="90"/>
        <v>53</v>
      </c>
    </row>
    <row r="736" spans="1:10">
      <c r="A736" s="1" t="s">
        <v>28</v>
      </c>
      <c r="B736" s="1" t="str">
        <f>"王彩霞"</f>
        <v>王彩霞</v>
      </c>
      <c r="C736" s="1" t="str">
        <f>"女"</f>
        <v>女</v>
      </c>
      <c r="D736" s="1" t="str">
        <f t="shared" si="89"/>
        <v>汉族</v>
      </c>
      <c r="E736" s="1" t="str">
        <f>"15062182928"</f>
        <v>15062182928</v>
      </c>
      <c r="F736" s="1">
        <v>29</v>
      </c>
      <c r="G736" s="1">
        <v>28</v>
      </c>
      <c r="H736" s="5">
        <v>0</v>
      </c>
      <c r="I736" s="1">
        <v>0</v>
      </c>
      <c r="J736" s="1">
        <f t="shared" si="90"/>
        <v>0</v>
      </c>
    </row>
    <row r="737" spans="1:10">
      <c r="A737" s="1" t="s">
        <v>28</v>
      </c>
      <c r="B737" s="1" t="str">
        <f>"蔺凯"</f>
        <v>蔺凯</v>
      </c>
      <c r="C737" s="1" t="str">
        <f>"男"</f>
        <v>男</v>
      </c>
      <c r="D737" s="1" t="str">
        <f t="shared" si="89"/>
        <v>汉族</v>
      </c>
      <c r="E737" s="1" t="str">
        <f>"15062182929"</f>
        <v>15062182929</v>
      </c>
      <c r="F737" s="1">
        <v>29</v>
      </c>
      <c r="G737" s="1">
        <v>29</v>
      </c>
      <c r="H737" s="5">
        <v>0</v>
      </c>
      <c r="I737" s="1">
        <v>0</v>
      </c>
      <c r="J737" s="1">
        <f t="shared" si="90"/>
        <v>0</v>
      </c>
    </row>
    <row r="738" spans="1:10">
      <c r="A738" s="1" t="s">
        <v>28</v>
      </c>
      <c r="B738" s="1" t="str">
        <f>"刘军"</f>
        <v>刘军</v>
      </c>
      <c r="C738" s="1" t="str">
        <f>"男"</f>
        <v>男</v>
      </c>
      <c r="D738" s="1" t="str">
        <f t="shared" si="89"/>
        <v>汉族</v>
      </c>
      <c r="E738" s="1" t="str">
        <f>"15062182930"</f>
        <v>15062182930</v>
      </c>
      <c r="F738" s="1">
        <v>29</v>
      </c>
      <c r="G738" s="1">
        <v>30</v>
      </c>
      <c r="H738" s="5">
        <v>54</v>
      </c>
      <c r="I738" s="1">
        <v>0</v>
      </c>
      <c r="J738" s="1">
        <f t="shared" si="90"/>
        <v>54</v>
      </c>
    </row>
    <row r="739" spans="1:10">
      <c r="A739" s="1" t="s">
        <v>28</v>
      </c>
      <c r="B739" s="1" t="str">
        <f>"闫巧银"</f>
        <v>闫巧银</v>
      </c>
      <c r="C739" s="1" t="str">
        <f>"女"</f>
        <v>女</v>
      </c>
      <c r="D739" s="1" t="str">
        <f t="shared" si="89"/>
        <v>汉族</v>
      </c>
      <c r="E739" s="1" t="str">
        <f>"15062183001"</f>
        <v>15062183001</v>
      </c>
      <c r="F739" s="1">
        <v>30</v>
      </c>
      <c r="G739" s="1">
        <v>1</v>
      </c>
      <c r="H739" s="5">
        <v>0</v>
      </c>
      <c r="I739" s="1">
        <v>0</v>
      </c>
      <c r="J739" s="1">
        <f t="shared" si="90"/>
        <v>0</v>
      </c>
    </row>
    <row r="740" spans="1:10">
      <c r="A740" s="1" t="s">
        <v>28</v>
      </c>
      <c r="B740" s="1" t="str">
        <f>"孙岚"</f>
        <v>孙岚</v>
      </c>
      <c r="C740" s="1" t="str">
        <f>"女"</f>
        <v>女</v>
      </c>
      <c r="D740" s="1" t="str">
        <f t="shared" si="89"/>
        <v>汉族</v>
      </c>
      <c r="E740" s="1" t="str">
        <f>"15062183002"</f>
        <v>15062183002</v>
      </c>
      <c r="F740" s="1">
        <v>30</v>
      </c>
      <c r="G740" s="1">
        <v>2</v>
      </c>
      <c r="H740" s="5">
        <v>50</v>
      </c>
      <c r="I740" s="1">
        <v>0</v>
      </c>
      <c r="J740" s="1">
        <f t="shared" si="90"/>
        <v>50</v>
      </c>
    </row>
    <row r="741" spans="1:10">
      <c r="A741" s="1" t="s">
        <v>28</v>
      </c>
      <c r="B741" s="1" t="str">
        <f>"孟蕊"</f>
        <v>孟蕊</v>
      </c>
      <c r="C741" s="1" t="str">
        <f>"女"</f>
        <v>女</v>
      </c>
      <c r="D741" s="1" t="str">
        <f t="shared" si="89"/>
        <v>汉族</v>
      </c>
      <c r="E741" s="1" t="str">
        <f>"15062183003"</f>
        <v>15062183003</v>
      </c>
      <c r="F741" s="1">
        <v>30</v>
      </c>
      <c r="G741" s="1">
        <v>3</v>
      </c>
      <c r="H741" s="5">
        <v>48</v>
      </c>
      <c r="I741" s="1">
        <v>0</v>
      </c>
      <c r="J741" s="1">
        <f t="shared" si="90"/>
        <v>48</v>
      </c>
    </row>
    <row r="742" spans="1:10">
      <c r="A742" s="1" t="s">
        <v>28</v>
      </c>
      <c r="B742" s="1" t="str">
        <f>"杨丽"</f>
        <v>杨丽</v>
      </c>
      <c r="C742" s="1" t="str">
        <f>"女"</f>
        <v>女</v>
      </c>
      <c r="D742" s="1" t="str">
        <f t="shared" si="89"/>
        <v>汉族</v>
      </c>
      <c r="E742" s="1" t="str">
        <f>"15062183004"</f>
        <v>15062183004</v>
      </c>
      <c r="F742" s="1">
        <v>30</v>
      </c>
      <c r="G742" s="1">
        <v>4</v>
      </c>
      <c r="H742" s="5">
        <v>0</v>
      </c>
      <c r="I742" s="1">
        <v>0</v>
      </c>
      <c r="J742" s="1">
        <f t="shared" si="90"/>
        <v>0</v>
      </c>
    </row>
    <row r="743" spans="1:10">
      <c r="A743" s="1" t="s">
        <v>28</v>
      </c>
      <c r="B743" s="1" t="str">
        <f>"达日和泰"</f>
        <v>达日和泰</v>
      </c>
      <c r="C743" s="1" t="str">
        <f>"男"</f>
        <v>男</v>
      </c>
      <c r="D743" s="1" t="str">
        <f t="shared" si="89"/>
        <v>汉族</v>
      </c>
      <c r="E743" s="1" t="str">
        <f>"15062183005"</f>
        <v>15062183005</v>
      </c>
      <c r="F743" s="1">
        <v>30</v>
      </c>
      <c r="G743" s="1">
        <v>5</v>
      </c>
      <c r="H743" s="5">
        <v>0</v>
      </c>
      <c r="I743" s="1">
        <v>0</v>
      </c>
      <c r="J743" s="1">
        <f t="shared" si="90"/>
        <v>0</v>
      </c>
    </row>
    <row r="744" spans="1:10">
      <c r="A744" s="1" t="s">
        <v>28</v>
      </c>
      <c r="B744" s="1" t="str">
        <f>"李文飞"</f>
        <v>李文飞</v>
      </c>
      <c r="C744" s="1" t="str">
        <f>"男"</f>
        <v>男</v>
      </c>
      <c r="D744" s="1" t="str">
        <f t="shared" si="89"/>
        <v>汉族</v>
      </c>
      <c r="E744" s="1" t="str">
        <f>"15062183006"</f>
        <v>15062183006</v>
      </c>
      <c r="F744" s="1">
        <v>30</v>
      </c>
      <c r="G744" s="1">
        <v>6</v>
      </c>
      <c r="H744" s="5">
        <v>0</v>
      </c>
      <c r="I744" s="1">
        <v>0</v>
      </c>
      <c r="J744" s="1">
        <f t="shared" si="90"/>
        <v>0</v>
      </c>
    </row>
    <row r="745" spans="1:10">
      <c r="A745" s="1" t="s">
        <v>28</v>
      </c>
      <c r="B745" s="1" t="str">
        <f>"冯帅"</f>
        <v>冯帅</v>
      </c>
      <c r="C745" s="1" t="str">
        <f>"男"</f>
        <v>男</v>
      </c>
      <c r="D745" s="1" t="str">
        <f t="shared" si="89"/>
        <v>汉族</v>
      </c>
      <c r="E745" s="1" t="str">
        <f>"15062183007"</f>
        <v>15062183007</v>
      </c>
      <c r="F745" s="1">
        <v>30</v>
      </c>
      <c r="G745" s="1">
        <v>7</v>
      </c>
      <c r="H745" s="5">
        <v>49</v>
      </c>
      <c r="I745" s="1">
        <v>0</v>
      </c>
      <c r="J745" s="1">
        <f t="shared" si="90"/>
        <v>49</v>
      </c>
    </row>
    <row r="746" spans="1:10">
      <c r="A746" s="1" t="s">
        <v>28</v>
      </c>
      <c r="B746" s="1" t="str">
        <f>"王荣"</f>
        <v>王荣</v>
      </c>
      <c r="C746" s="1" t="str">
        <f>"女"</f>
        <v>女</v>
      </c>
      <c r="D746" s="1" t="str">
        <f t="shared" si="89"/>
        <v>汉族</v>
      </c>
      <c r="E746" s="1" t="str">
        <f>"15062183008"</f>
        <v>15062183008</v>
      </c>
      <c r="F746" s="1">
        <v>30</v>
      </c>
      <c r="G746" s="1">
        <v>8</v>
      </c>
      <c r="H746" s="5">
        <v>43</v>
      </c>
      <c r="I746" s="1">
        <v>0</v>
      </c>
      <c r="J746" s="1">
        <f t="shared" si="90"/>
        <v>43</v>
      </c>
    </row>
    <row r="747" spans="1:10">
      <c r="A747" s="1" t="s">
        <v>28</v>
      </c>
      <c r="B747" s="1" t="str">
        <f>"侯雅丽"</f>
        <v>侯雅丽</v>
      </c>
      <c r="C747" s="1" t="str">
        <f>"女"</f>
        <v>女</v>
      </c>
      <c r="D747" s="1" t="str">
        <f>"蒙古族"</f>
        <v>蒙古族</v>
      </c>
      <c r="E747" s="1" t="str">
        <f>"15062183009"</f>
        <v>15062183009</v>
      </c>
      <c r="F747" s="1">
        <v>30</v>
      </c>
      <c r="G747" s="1">
        <v>9</v>
      </c>
      <c r="H747" s="5">
        <v>0</v>
      </c>
      <c r="I747" s="1">
        <v>0</v>
      </c>
      <c r="J747" s="1">
        <f t="shared" si="90"/>
        <v>0</v>
      </c>
    </row>
    <row r="748" spans="1:10">
      <c r="A748" s="1" t="s">
        <v>28</v>
      </c>
      <c r="B748" s="1" t="str">
        <f>"刘怡萱"</f>
        <v>刘怡萱</v>
      </c>
      <c r="C748" s="1" t="str">
        <f>"女"</f>
        <v>女</v>
      </c>
      <c r="D748" s="1" t="str">
        <f t="shared" ref="D748:D754" si="91">"汉族"</f>
        <v>汉族</v>
      </c>
      <c r="E748" s="1" t="str">
        <f>"15062183010"</f>
        <v>15062183010</v>
      </c>
      <c r="F748" s="1">
        <v>30</v>
      </c>
      <c r="G748" s="1">
        <v>10</v>
      </c>
      <c r="H748" s="5">
        <v>41</v>
      </c>
      <c r="I748" s="1">
        <v>0</v>
      </c>
      <c r="J748" s="1">
        <f t="shared" si="90"/>
        <v>41</v>
      </c>
    </row>
    <row r="749" spans="1:10">
      <c r="A749" s="1" t="s">
        <v>28</v>
      </c>
      <c r="B749" s="1" t="str">
        <f>"张鹏"</f>
        <v>张鹏</v>
      </c>
      <c r="C749" s="1" t="str">
        <f>"男"</f>
        <v>男</v>
      </c>
      <c r="D749" s="1" t="str">
        <f t="shared" si="91"/>
        <v>汉族</v>
      </c>
      <c r="E749" s="1" t="str">
        <f>"15062183011"</f>
        <v>15062183011</v>
      </c>
      <c r="F749" s="1">
        <v>30</v>
      </c>
      <c r="G749" s="1">
        <v>11</v>
      </c>
      <c r="H749" s="5">
        <v>48</v>
      </c>
      <c r="I749" s="1">
        <v>0</v>
      </c>
      <c r="J749" s="1">
        <f t="shared" si="90"/>
        <v>48</v>
      </c>
    </row>
    <row r="750" spans="1:10">
      <c r="A750" s="1" t="s">
        <v>28</v>
      </c>
      <c r="B750" s="1" t="str">
        <f>"刘星宇"</f>
        <v>刘星宇</v>
      </c>
      <c r="C750" s="1" t="str">
        <f>"女"</f>
        <v>女</v>
      </c>
      <c r="D750" s="1" t="str">
        <f t="shared" si="91"/>
        <v>汉族</v>
      </c>
      <c r="E750" s="1" t="str">
        <f>"15062183012"</f>
        <v>15062183012</v>
      </c>
      <c r="F750" s="1">
        <v>30</v>
      </c>
      <c r="G750" s="1">
        <v>12</v>
      </c>
      <c r="H750" s="5">
        <v>0</v>
      </c>
      <c r="I750" s="1">
        <v>0</v>
      </c>
      <c r="J750" s="1">
        <f t="shared" si="90"/>
        <v>0</v>
      </c>
    </row>
    <row r="751" spans="1:10">
      <c r="A751" s="1" t="s">
        <v>28</v>
      </c>
      <c r="B751" s="1" t="str">
        <f>"张悦诗"</f>
        <v>张悦诗</v>
      </c>
      <c r="C751" s="1" t="str">
        <f>"女"</f>
        <v>女</v>
      </c>
      <c r="D751" s="1" t="str">
        <f t="shared" si="91"/>
        <v>汉族</v>
      </c>
      <c r="E751" s="1" t="str">
        <f>"15062183013"</f>
        <v>15062183013</v>
      </c>
      <c r="F751" s="1">
        <v>30</v>
      </c>
      <c r="G751" s="1">
        <v>13</v>
      </c>
      <c r="H751" s="5">
        <v>66</v>
      </c>
      <c r="I751" s="1">
        <v>0</v>
      </c>
      <c r="J751" s="1">
        <f t="shared" si="90"/>
        <v>66</v>
      </c>
    </row>
    <row r="752" spans="1:10">
      <c r="A752" s="1" t="s">
        <v>28</v>
      </c>
      <c r="B752" s="1" t="str">
        <f>"邵丹"</f>
        <v>邵丹</v>
      </c>
      <c r="C752" s="1" t="str">
        <f>"女"</f>
        <v>女</v>
      </c>
      <c r="D752" s="1" t="str">
        <f t="shared" si="91"/>
        <v>汉族</v>
      </c>
      <c r="E752" s="1" t="str">
        <f>"15062183014"</f>
        <v>15062183014</v>
      </c>
      <c r="F752" s="1">
        <v>30</v>
      </c>
      <c r="G752" s="1">
        <v>14</v>
      </c>
      <c r="H752" s="5">
        <v>56</v>
      </c>
      <c r="I752" s="1">
        <v>0</v>
      </c>
      <c r="J752" s="1">
        <f t="shared" si="90"/>
        <v>56</v>
      </c>
    </row>
    <row r="753" spans="1:10">
      <c r="A753" s="1" t="s">
        <v>28</v>
      </c>
      <c r="B753" s="1" t="str">
        <f>"杨舒萍"</f>
        <v>杨舒萍</v>
      </c>
      <c r="C753" s="1" t="str">
        <f>"女"</f>
        <v>女</v>
      </c>
      <c r="D753" s="1" t="str">
        <f t="shared" si="91"/>
        <v>汉族</v>
      </c>
      <c r="E753" s="1" t="str">
        <f>"15062183015"</f>
        <v>15062183015</v>
      </c>
      <c r="F753" s="1">
        <v>30</v>
      </c>
      <c r="G753" s="1">
        <v>15</v>
      </c>
      <c r="H753" s="5">
        <v>0</v>
      </c>
      <c r="I753" s="1">
        <v>0</v>
      </c>
      <c r="J753" s="1">
        <f t="shared" si="90"/>
        <v>0</v>
      </c>
    </row>
    <row r="754" spans="1:10">
      <c r="A754" s="1" t="s">
        <v>28</v>
      </c>
      <c r="B754" s="1" t="str">
        <f>"晏霞"</f>
        <v>晏霞</v>
      </c>
      <c r="C754" s="1" t="str">
        <f>"女"</f>
        <v>女</v>
      </c>
      <c r="D754" s="1" t="str">
        <f t="shared" si="91"/>
        <v>汉族</v>
      </c>
      <c r="E754" s="1" t="str">
        <f>"15062183016"</f>
        <v>15062183016</v>
      </c>
      <c r="F754" s="1">
        <v>30</v>
      </c>
      <c r="G754" s="1">
        <v>16</v>
      </c>
      <c r="H754" s="5">
        <v>0</v>
      </c>
      <c r="I754" s="1">
        <v>0</v>
      </c>
      <c r="J754" s="1">
        <f t="shared" si="90"/>
        <v>0</v>
      </c>
    </row>
    <row r="755" spans="1:10">
      <c r="A755" s="1" t="s">
        <v>28</v>
      </c>
      <c r="B755" s="1" t="str">
        <f>"乌汗图"</f>
        <v>乌汗图</v>
      </c>
      <c r="C755" s="1" t="str">
        <f>"男"</f>
        <v>男</v>
      </c>
      <c r="D755" s="1" t="str">
        <f>"蒙古族"</f>
        <v>蒙古族</v>
      </c>
      <c r="E755" s="1" t="str">
        <f>"15062183017"</f>
        <v>15062183017</v>
      </c>
      <c r="F755" s="1">
        <v>30</v>
      </c>
      <c r="G755" s="1">
        <v>17</v>
      </c>
      <c r="H755" s="5">
        <v>40</v>
      </c>
      <c r="I755" s="1">
        <v>2.5</v>
      </c>
      <c r="J755" s="1">
        <f t="shared" si="90"/>
        <v>42.5</v>
      </c>
    </row>
    <row r="756" spans="1:10">
      <c r="A756" s="1" t="s">
        <v>28</v>
      </c>
      <c r="B756" s="1" t="str">
        <f>"杨露"</f>
        <v>杨露</v>
      </c>
      <c r="C756" s="1" t="str">
        <f>"女"</f>
        <v>女</v>
      </c>
      <c r="D756" s="1" t="str">
        <f>"汉族"</f>
        <v>汉族</v>
      </c>
      <c r="E756" s="1" t="str">
        <f>"15062183018"</f>
        <v>15062183018</v>
      </c>
      <c r="F756" s="1">
        <v>30</v>
      </c>
      <c r="G756" s="1">
        <v>18</v>
      </c>
      <c r="H756" s="5">
        <v>0</v>
      </c>
      <c r="I756" s="1">
        <v>0</v>
      </c>
      <c r="J756" s="1">
        <f t="shared" si="90"/>
        <v>0</v>
      </c>
    </row>
    <row r="757" spans="1:10">
      <c r="A757" s="1" t="s">
        <v>28</v>
      </c>
      <c r="B757" s="1" t="str">
        <f>"魏星燕"</f>
        <v>魏星燕</v>
      </c>
      <c r="C757" s="1" t="str">
        <f>"女"</f>
        <v>女</v>
      </c>
      <c r="D757" s="1" t="str">
        <f>"汉族"</f>
        <v>汉族</v>
      </c>
      <c r="E757" s="1" t="str">
        <f>"15062183019"</f>
        <v>15062183019</v>
      </c>
      <c r="F757" s="1">
        <v>30</v>
      </c>
      <c r="G757" s="1">
        <v>19</v>
      </c>
      <c r="H757" s="5">
        <v>63</v>
      </c>
      <c r="I757" s="1">
        <v>0</v>
      </c>
      <c r="J757" s="1">
        <f t="shared" si="90"/>
        <v>63</v>
      </c>
    </row>
    <row r="758" spans="1:10">
      <c r="A758" s="1" t="s">
        <v>28</v>
      </c>
      <c r="B758" s="1" t="str">
        <f>"奇茉晨"</f>
        <v>奇茉晨</v>
      </c>
      <c r="C758" s="1" t="str">
        <f>"女"</f>
        <v>女</v>
      </c>
      <c r="D758" s="1" t="str">
        <f>"蒙古族"</f>
        <v>蒙古族</v>
      </c>
      <c r="E758" s="1" t="str">
        <f>"15062183020"</f>
        <v>15062183020</v>
      </c>
      <c r="F758" s="1">
        <v>30</v>
      </c>
      <c r="G758" s="1">
        <v>20</v>
      </c>
      <c r="H758" s="5">
        <v>54</v>
      </c>
      <c r="I758" s="1">
        <v>2.5</v>
      </c>
      <c r="J758" s="1">
        <f t="shared" si="90"/>
        <v>56.5</v>
      </c>
    </row>
    <row r="759" spans="1:10">
      <c r="A759" s="1" t="s">
        <v>28</v>
      </c>
      <c r="B759" s="1" t="str">
        <f>"李瑞霞"</f>
        <v>李瑞霞</v>
      </c>
      <c r="C759" s="1" t="str">
        <f>"女"</f>
        <v>女</v>
      </c>
      <c r="D759" s="1" t="str">
        <f>"汉族"</f>
        <v>汉族</v>
      </c>
      <c r="E759" s="1" t="str">
        <f>"15062183021"</f>
        <v>15062183021</v>
      </c>
      <c r="F759" s="1">
        <v>30</v>
      </c>
      <c r="G759" s="1">
        <v>21</v>
      </c>
      <c r="H759" s="5">
        <v>0</v>
      </c>
      <c r="I759" s="1">
        <v>0</v>
      </c>
      <c r="J759" s="1">
        <f t="shared" si="90"/>
        <v>0</v>
      </c>
    </row>
    <row r="760" spans="1:10">
      <c r="A760" s="1" t="s">
        <v>28</v>
      </c>
      <c r="B760" s="1" t="str">
        <f>"王帅"</f>
        <v>王帅</v>
      </c>
      <c r="C760" s="1" t="str">
        <f>"男"</f>
        <v>男</v>
      </c>
      <c r="D760" s="1" t="str">
        <f>"汉族"</f>
        <v>汉族</v>
      </c>
      <c r="E760" s="1" t="str">
        <f>"15062183022"</f>
        <v>15062183022</v>
      </c>
      <c r="F760" s="1">
        <v>30</v>
      </c>
      <c r="G760" s="1">
        <v>22</v>
      </c>
      <c r="H760" s="5">
        <v>47</v>
      </c>
      <c r="I760" s="1">
        <v>0</v>
      </c>
      <c r="J760" s="1">
        <f t="shared" si="90"/>
        <v>47</v>
      </c>
    </row>
    <row r="761" spans="1:10">
      <c r="A761" s="1" t="s">
        <v>28</v>
      </c>
      <c r="B761" s="1" t="str">
        <f>"都日娜"</f>
        <v>都日娜</v>
      </c>
      <c r="C761" s="1" t="str">
        <f>"女"</f>
        <v>女</v>
      </c>
      <c r="D761" s="1" t="str">
        <f>"蒙古族"</f>
        <v>蒙古族</v>
      </c>
      <c r="E761" s="1" t="str">
        <f>"15062183023"</f>
        <v>15062183023</v>
      </c>
      <c r="F761" s="1">
        <v>30</v>
      </c>
      <c r="G761" s="1">
        <v>23</v>
      </c>
      <c r="H761" s="5">
        <v>0</v>
      </c>
      <c r="I761" s="1">
        <v>0</v>
      </c>
      <c r="J761" s="1">
        <f t="shared" si="90"/>
        <v>0</v>
      </c>
    </row>
    <row r="762" spans="1:10">
      <c r="A762" s="1" t="s">
        <v>28</v>
      </c>
      <c r="B762" s="1" t="str">
        <f>"冯宇"</f>
        <v>冯宇</v>
      </c>
      <c r="C762" s="1" t="str">
        <f>"男"</f>
        <v>男</v>
      </c>
      <c r="D762" s="1" t="str">
        <f>"汉族"</f>
        <v>汉族</v>
      </c>
      <c r="E762" s="1" t="str">
        <f>"15062183024"</f>
        <v>15062183024</v>
      </c>
      <c r="F762" s="1">
        <v>30</v>
      </c>
      <c r="G762" s="1">
        <v>24</v>
      </c>
      <c r="H762" s="5">
        <v>0</v>
      </c>
      <c r="I762" s="1">
        <v>0</v>
      </c>
      <c r="J762" s="1">
        <f t="shared" si="90"/>
        <v>0</v>
      </c>
    </row>
    <row r="763" spans="1:10">
      <c r="A763" s="1" t="s">
        <v>28</v>
      </c>
      <c r="B763" s="1" t="str">
        <f>"周瑞"</f>
        <v>周瑞</v>
      </c>
      <c r="C763" s="1" t="str">
        <f>"女"</f>
        <v>女</v>
      </c>
      <c r="D763" s="1" t="str">
        <f>"汉族"</f>
        <v>汉族</v>
      </c>
      <c r="E763" s="1" t="str">
        <f>"15062183025"</f>
        <v>15062183025</v>
      </c>
      <c r="F763" s="1">
        <v>30</v>
      </c>
      <c r="G763" s="1">
        <v>25</v>
      </c>
      <c r="H763" s="5">
        <v>0</v>
      </c>
      <c r="I763" s="1">
        <v>0</v>
      </c>
      <c r="J763" s="1">
        <f t="shared" si="90"/>
        <v>0</v>
      </c>
    </row>
    <row r="764" spans="1:10">
      <c r="A764" s="1" t="s">
        <v>28</v>
      </c>
      <c r="B764" s="1" t="str">
        <f>"刘琴"</f>
        <v>刘琴</v>
      </c>
      <c r="C764" s="1" t="str">
        <f>"女"</f>
        <v>女</v>
      </c>
      <c r="D764" s="1" t="str">
        <f>"汉族"</f>
        <v>汉族</v>
      </c>
      <c r="E764" s="1" t="str">
        <f>"15062183026"</f>
        <v>15062183026</v>
      </c>
      <c r="F764" s="1">
        <v>30</v>
      </c>
      <c r="G764" s="1">
        <v>26</v>
      </c>
      <c r="H764" s="5">
        <v>0</v>
      </c>
      <c r="I764" s="1">
        <v>0</v>
      </c>
      <c r="J764" s="1">
        <f t="shared" si="90"/>
        <v>0</v>
      </c>
    </row>
    <row r="765" spans="1:10">
      <c r="A765" s="1" t="s">
        <v>28</v>
      </c>
      <c r="B765" s="1" t="str">
        <f>"史丽英"</f>
        <v>史丽英</v>
      </c>
      <c r="C765" s="1" t="str">
        <f>"女"</f>
        <v>女</v>
      </c>
      <c r="D765" s="1" t="str">
        <f>"汉族"</f>
        <v>汉族</v>
      </c>
      <c r="E765" s="1" t="str">
        <f>"15062183027"</f>
        <v>15062183027</v>
      </c>
      <c r="F765" s="1">
        <v>30</v>
      </c>
      <c r="G765" s="1">
        <v>27</v>
      </c>
      <c r="H765" s="5">
        <v>58</v>
      </c>
      <c r="I765" s="1">
        <v>0</v>
      </c>
      <c r="J765" s="1">
        <f t="shared" si="90"/>
        <v>58</v>
      </c>
    </row>
    <row r="766" spans="1:10">
      <c r="A766" s="1" t="s">
        <v>28</v>
      </c>
      <c r="B766" s="1" t="str">
        <f>"张鹏"</f>
        <v>张鹏</v>
      </c>
      <c r="C766" s="1" t="str">
        <f>"男"</f>
        <v>男</v>
      </c>
      <c r="D766" s="1" t="str">
        <f>"汉族"</f>
        <v>汉族</v>
      </c>
      <c r="E766" s="1" t="str">
        <f>"15062183028"</f>
        <v>15062183028</v>
      </c>
      <c r="F766" s="1">
        <v>30</v>
      </c>
      <c r="G766" s="1">
        <v>28</v>
      </c>
      <c r="H766" s="5">
        <v>84</v>
      </c>
      <c r="I766" s="1">
        <v>0</v>
      </c>
      <c r="J766" s="1">
        <f t="shared" si="90"/>
        <v>84</v>
      </c>
    </row>
    <row r="767" spans="1:10">
      <c r="A767" s="1" t="s">
        <v>28</v>
      </c>
      <c r="B767" s="1" t="str">
        <f>"夏明鑫"</f>
        <v>夏明鑫</v>
      </c>
      <c r="C767" s="1" t="str">
        <f>"女"</f>
        <v>女</v>
      </c>
      <c r="D767" s="1" t="str">
        <f>"蒙古族"</f>
        <v>蒙古族</v>
      </c>
      <c r="E767" s="1" t="str">
        <f>"15062183029"</f>
        <v>15062183029</v>
      </c>
      <c r="F767" s="1">
        <v>30</v>
      </c>
      <c r="G767" s="1">
        <v>29</v>
      </c>
      <c r="H767" s="5">
        <v>0</v>
      </c>
      <c r="I767" s="1">
        <v>0</v>
      </c>
      <c r="J767" s="1">
        <f t="shared" si="90"/>
        <v>0</v>
      </c>
    </row>
    <row r="768" spans="1:10">
      <c r="A768" s="1" t="s">
        <v>28</v>
      </c>
      <c r="B768" s="1" t="str">
        <f>"白利平"</f>
        <v>白利平</v>
      </c>
      <c r="C768" s="1" t="str">
        <f>"男"</f>
        <v>男</v>
      </c>
      <c r="D768" s="1" t="str">
        <f t="shared" ref="D768:D777" si="92">"汉族"</f>
        <v>汉族</v>
      </c>
      <c r="E768" s="1" t="str">
        <f>"15062183030"</f>
        <v>15062183030</v>
      </c>
      <c r="F768" s="1">
        <v>30</v>
      </c>
      <c r="G768" s="1">
        <v>30</v>
      </c>
      <c r="H768" s="5">
        <v>39</v>
      </c>
      <c r="I768" s="1">
        <v>0</v>
      </c>
      <c r="J768" s="1">
        <f t="shared" si="90"/>
        <v>39</v>
      </c>
    </row>
    <row r="769" spans="1:10">
      <c r="A769" s="1" t="s">
        <v>28</v>
      </c>
      <c r="B769" s="1" t="str">
        <f>"安浩瑜"</f>
        <v>安浩瑜</v>
      </c>
      <c r="C769" s="1" t="str">
        <f>"男"</f>
        <v>男</v>
      </c>
      <c r="D769" s="1" t="str">
        <f t="shared" si="92"/>
        <v>汉族</v>
      </c>
      <c r="E769" s="1" t="str">
        <f>"15062183101"</f>
        <v>15062183101</v>
      </c>
      <c r="F769" s="1">
        <v>31</v>
      </c>
      <c r="G769" s="1">
        <v>1</v>
      </c>
      <c r="H769" s="5">
        <v>0</v>
      </c>
      <c r="I769" s="1">
        <v>0</v>
      </c>
      <c r="J769" s="1">
        <f t="shared" si="90"/>
        <v>0</v>
      </c>
    </row>
    <row r="770" spans="1:10">
      <c r="A770" s="1" t="s">
        <v>28</v>
      </c>
      <c r="B770" s="1" t="str">
        <f>"王姣"</f>
        <v>王姣</v>
      </c>
      <c r="C770" s="1" t="str">
        <f>"女"</f>
        <v>女</v>
      </c>
      <c r="D770" s="1" t="str">
        <f t="shared" si="92"/>
        <v>汉族</v>
      </c>
      <c r="E770" s="1" t="str">
        <f>"15062183102"</f>
        <v>15062183102</v>
      </c>
      <c r="F770" s="1">
        <v>31</v>
      </c>
      <c r="G770" s="1">
        <v>2</v>
      </c>
      <c r="H770" s="5">
        <v>0</v>
      </c>
      <c r="I770" s="1">
        <v>0</v>
      </c>
      <c r="J770" s="1">
        <f t="shared" si="90"/>
        <v>0</v>
      </c>
    </row>
    <row r="771" spans="1:10">
      <c r="A771" s="1" t="s">
        <v>28</v>
      </c>
      <c r="B771" s="1" t="str">
        <f>"白璐"</f>
        <v>白璐</v>
      </c>
      <c r="C771" s="1" t="str">
        <f>"女"</f>
        <v>女</v>
      </c>
      <c r="D771" s="1" t="str">
        <f t="shared" si="92"/>
        <v>汉族</v>
      </c>
      <c r="E771" s="1" t="str">
        <f>"15062183103"</f>
        <v>15062183103</v>
      </c>
      <c r="F771" s="1">
        <v>31</v>
      </c>
      <c r="G771" s="1">
        <v>3</v>
      </c>
      <c r="H771" s="5">
        <v>0</v>
      </c>
      <c r="I771" s="1">
        <v>0</v>
      </c>
      <c r="J771" s="1">
        <f t="shared" si="90"/>
        <v>0</v>
      </c>
    </row>
    <row r="772" spans="1:10">
      <c r="A772" s="1" t="s">
        <v>28</v>
      </c>
      <c r="B772" s="1" t="str">
        <f>"李鑫"</f>
        <v>李鑫</v>
      </c>
      <c r="C772" s="1" t="str">
        <f>"男"</f>
        <v>男</v>
      </c>
      <c r="D772" s="1" t="str">
        <f t="shared" si="92"/>
        <v>汉族</v>
      </c>
      <c r="E772" s="1" t="str">
        <f>"15062183104"</f>
        <v>15062183104</v>
      </c>
      <c r="F772" s="1">
        <v>31</v>
      </c>
      <c r="G772" s="1">
        <v>4</v>
      </c>
      <c r="H772" s="5">
        <v>42</v>
      </c>
      <c r="I772" s="1">
        <v>0</v>
      </c>
      <c r="J772" s="1">
        <f t="shared" si="90"/>
        <v>42</v>
      </c>
    </row>
    <row r="773" spans="1:10">
      <c r="A773" s="1" t="s">
        <v>28</v>
      </c>
      <c r="B773" s="1" t="str">
        <f>"纪亚飞"</f>
        <v>纪亚飞</v>
      </c>
      <c r="C773" s="1" t="str">
        <f>"男"</f>
        <v>男</v>
      </c>
      <c r="D773" s="1" t="str">
        <f t="shared" si="92"/>
        <v>汉族</v>
      </c>
      <c r="E773" s="1" t="str">
        <f>"15062183105"</f>
        <v>15062183105</v>
      </c>
      <c r="F773" s="1">
        <v>31</v>
      </c>
      <c r="G773" s="1">
        <v>5</v>
      </c>
      <c r="H773" s="5">
        <v>0</v>
      </c>
      <c r="I773" s="1">
        <v>0</v>
      </c>
      <c r="J773" s="1">
        <f t="shared" si="90"/>
        <v>0</v>
      </c>
    </row>
    <row r="774" spans="1:10">
      <c r="A774" s="1" t="s">
        <v>28</v>
      </c>
      <c r="B774" s="1" t="str">
        <f>"刘洋"</f>
        <v>刘洋</v>
      </c>
      <c r="C774" s="1" t="str">
        <f>"女"</f>
        <v>女</v>
      </c>
      <c r="D774" s="1" t="str">
        <f t="shared" si="92"/>
        <v>汉族</v>
      </c>
      <c r="E774" s="1" t="str">
        <f>"15062183106"</f>
        <v>15062183106</v>
      </c>
      <c r="F774" s="1">
        <v>31</v>
      </c>
      <c r="G774" s="1">
        <v>6</v>
      </c>
      <c r="H774" s="5">
        <v>58</v>
      </c>
      <c r="I774" s="1">
        <v>0</v>
      </c>
      <c r="J774" s="1">
        <f t="shared" si="90"/>
        <v>58</v>
      </c>
    </row>
    <row r="775" spans="1:10">
      <c r="A775" s="1" t="s">
        <v>28</v>
      </c>
      <c r="B775" s="1" t="str">
        <f>"牛媛"</f>
        <v>牛媛</v>
      </c>
      <c r="C775" s="1" t="str">
        <f>"女"</f>
        <v>女</v>
      </c>
      <c r="D775" s="1" t="str">
        <f t="shared" si="92"/>
        <v>汉族</v>
      </c>
      <c r="E775" s="1" t="str">
        <f>"15062183107"</f>
        <v>15062183107</v>
      </c>
      <c r="F775" s="1">
        <v>31</v>
      </c>
      <c r="G775" s="1">
        <v>7</v>
      </c>
      <c r="H775" s="5">
        <v>64</v>
      </c>
      <c r="I775" s="1">
        <v>0</v>
      </c>
      <c r="J775" s="1">
        <f t="shared" si="90"/>
        <v>64</v>
      </c>
    </row>
    <row r="776" spans="1:10">
      <c r="A776" s="1" t="s">
        <v>28</v>
      </c>
      <c r="B776" s="1" t="str">
        <f>"刘荣"</f>
        <v>刘荣</v>
      </c>
      <c r="C776" s="1" t="str">
        <f>"女"</f>
        <v>女</v>
      </c>
      <c r="D776" s="1" t="str">
        <f t="shared" si="92"/>
        <v>汉族</v>
      </c>
      <c r="E776" s="1" t="str">
        <f>"15062183108"</f>
        <v>15062183108</v>
      </c>
      <c r="F776" s="1">
        <v>31</v>
      </c>
      <c r="G776" s="1">
        <v>8</v>
      </c>
      <c r="H776" s="5">
        <v>0</v>
      </c>
      <c r="I776" s="1">
        <v>0</v>
      </c>
      <c r="J776" s="1">
        <f t="shared" si="90"/>
        <v>0</v>
      </c>
    </row>
    <row r="777" spans="1:10">
      <c r="A777" s="1" t="s">
        <v>28</v>
      </c>
      <c r="B777" s="1" t="str">
        <f>"付巧梅"</f>
        <v>付巧梅</v>
      </c>
      <c r="C777" s="1" t="str">
        <f>"女"</f>
        <v>女</v>
      </c>
      <c r="D777" s="1" t="str">
        <f t="shared" si="92"/>
        <v>汉族</v>
      </c>
      <c r="E777" s="1" t="str">
        <f>"15062183109"</f>
        <v>15062183109</v>
      </c>
      <c r="F777" s="1">
        <v>31</v>
      </c>
      <c r="G777" s="1">
        <v>9</v>
      </c>
      <c r="H777" s="5">
        <v>55</v>
      </c>
      <c r="I777" s="1">
        <v>0</v>
      </c>
      <c r="J777" s="1">
        <f t="shared" si="90"/>
        <v>55</v>
      </c>
    </row>
    <row r="778" spans="1:10">
      <c r="A778" s="1" t="s">
        <v>28</v>
      </c>
      <c r="B778" s="1" t="str">
        <f>"牛思戈"</f>
        <v>牛思戈</v>
      </c>
      <c r="C778" s="1" t="str">
        <f>"男"</f>
        <v>男</v>
      </c>
      <c r="D778" s="1" t="str">
        <f>"蒙古族"</f>
        <v>蒙古族</v>
      </c>
      <c r="E778" s="1" t="str">
        <f>"15062183110"</f>
        <v>15062183110</v>
      </c>
      <c r="F778" s="1">
        <v>31</v>
      </c>
      <c r="G778" s="1">
        <v>10</v>
      </c>
      <c r="H778" s="5">
        <v>70</v>
      </c>
      <c r="I778" s="1">
        <v>2.5</v>
      </c>
      <c r="J778" s="1">
        <f t="shared" si="90"/>
        <v>72.5</v>
      </c>
    </row>
    <row r="779" spans="1:10">
      <c r="A779" s="1" t="s">
        <v>28</v>
      </c>
      <c r="B779" s="1" t="str">
        <f>"莫热德乐"</f>
        <v>莫热德乐</v>
      </c>
      <c r="C779" s="1" t="str">
        <f>"男"</f>
        <v>男</v>
      </c>
      <c r="D779" s="1" t="str">
        <f>"蒙古族"</f>
        <v>蒙古族</v>
      </c>
      <c r="E779" s="1" t="str">
        <f>"15062183111"</f>
        <v>15062183111</v>
      </c>
      <c r="F779" s="1">
        <v>31</v>
      </c>
      <c r="G779" s="1">
        <v>11</v>
      </c>
      <c r="H779" s="5">
        <v>52</v>
      </c>
      <c r="I779" s="1">
        <v>2.5</v>
      </c>
      <c r="J779" s="1">
        <f t="shared" si="90"/>
        <v>54.5</v>
      </c>
    </row>
    <row r="780" spans="1:10">
      <c r="A780" s="1" t="s">
        <v>28</v>
      </c>
      <c r="B780" s="1" t="str">
        <f>"王瑞"</f>
        <v>王瑞</v>
      </c>
      <c r="C780" s="1" t="str">
        <f>"男"</f>
        <v>男</v>
      </c>
      <c r="D780" s="1" t="str">
        <f>"汉族"</f>
        <v>汉族</v>
      </c>
      <c r="E780" s="1" t="str">
        <f>"15062183112"</f>
        <v>15062183112</v>
      </c>
      <c r="F780" s="1">
        <v>31</v>
      </c>
      <c r="G780" s="1">
        <v>12</v>
      </c>
      <c r="H780" s="5">
        <v>45</v>
      </c>
      <c r="I780" s="1">
        <v>0</v>
      </c>
      <c r="J780" s="1">
        <f t="shared" si="90"/>
        <v>45</v>
      </c>
    </row>
    <row r="781" spans="1:10">
      <c r="A781" s="1" t="s">
        <v>28</v>
      </c>
      <c r="B781" s="1" t="str">
        <f>"王琴"</f>
        <v>王琴</v>
      </c>
      <c r="C781" s="1" t="str">
        <f>"女"</f>
        <v>女</v>
      </c>
      <c r="D781" s="1" t="str">
        <f>"汉族"</f>
        <v>汉族</v>
      </c>
      <c r="E781" s="1" t="str">
        <f>"15062183113"</f>
        <v>15062183113</v>
      </c>
      <c r="F781" s="1">
        <v>31</v>
      </c>
      <c r="G781" s="1">
        <v>13</v>
      </c>
      <c r="H781" s="5">
        <v>0</v>
      </c>
      <c r="I781" s="1">
        <v>0</v>
      </c>
      <c r="J781" s="1">
        <f t="shared" si="90"/>
        <v>0</v>
      </c>
    </row>
    <row r="782" spans="1:10">
      <c r="A782" s="1" t="s">
        <v>28</v>
      </c>
      <c r="B782" s="1" t="str">
        <f>"沈啸宇"</f>
        <v>沈啸宇</v>
      </c>
      <c r="C782" s="1" t="str">
        <f>"女"</f>
        <v>女</v>
      </c>
      <c r="D782" s="1" t="str">
        <f>"满族"</f>
        <v>满族</v>
      </c>
      <c r="E782" s="1" t="str">
        <f>"15062183114"</f>
        <v>15062183114</v>
      </c>
      <c r="F782" s="1">
        <v>31</v>
      </c>
      <c r="G782" s="1">
        <v>14</v>
      </c>
      <c r="H782" s="5">
        <v>50</v>
      </c>
      <c r="I782" s="1">
        <v>0</v>
      </c>
      <c r="J782" s="1">
        <f t="shared" si="90"/>
        <v>50</v>
      </c>
    </row>
    <row r="783" spans="1:10">
      <c r="A783" s="1" t="s">
        <v>28</v>
      </c>
      <c r="B783" s="1" t="str">
        <f>"刘思宇"</f>
        <v>刘思宇</v>
      </c>
      <c r="C783" s="1" t="str">
        <f>"男"</f>
        <v>男</v>
      </c>
      <c r="D783" s="1" t="str">
        <f t="shared" ref="D783:D793" si="93">"汉族"</f>
        <v>汉族</v>
      </c>
      <c r="E783" s="1" t="str">
        <f>"15062183115"</f>
        <v>15062183115</v>
      </c>
      <c r="F783" s="1">
        <v>31</v>
      </c>
      <c r="G783" s="1">
        <v>15</v>
      </c>
      <c r="H783" s="5">
        <v>46</v>
      </c>
      <c r="I783" s="1">
        <v>0</v>
      </c>
      <c r="J783" s="1">
        <f t="shared" si="90"/>
        <v>46</v>
      </c>
    </row>
    <row r="784" spans="1:10">
      <c r="A784" s="1" t="s">
        <v>28</v>
      </c>
      <c r="B784" s="1" t="str">
        <f>"薛威"</f>
        <v>薛威</v>
      </c>
      <c r="C784" s="1" t="str">
        <f>"男"</f>
        <v>男</v>
      </c>
      <c r="D784" s="1" t="str">
        <f t="shared" si="93"/>
        <v>汉族</v>
      </c>
      <c r="E784" s="1" t="str">
        <f>"15062183116"</f>
        <v>15062183116</v>
      </c>
      <c r="F784" s="1">
        <v>31</v>
      </c>
      <c r="G784" s="1">
        <v>16</v>
      </c>
      <c r="H784" s="5">
        <v>0</v>
      </c>
      <c r="I784" s="1">
        <v>0</v>
      </c>
      <c r="J784" s="1">
        <f t="shared" si="90"/>
        <v>0</v>
      </c>
    </row>
    <row r="785" spans="1:10">
      <c r="A785" s="1" t="s">
        <v>28</v>
      </c>
      <c r="B785" s="1" t="str">
        <f>"乔强"</f>
        <v>乔强</v>
      </c>
      <c r="C785" s="1" t="str">
        <f>"男"</f>
        <v>男</v>
      </c>
      <c r="D785" s="1" t="str">
        <f t="shared" si="93"/>
        <v>汉族</v>
      </c>
      <c r="E785" s="1" t="str">
        <f>"15062183117"</f>
        <v>15062183117</v>
      </c>
      <c r="F785" s="1">
        <v>31</v>
      </c>
      <c r="G785" s="1">
        <v>17</v>
      </c>
      <c r="H785" s="5">
        <v>50</v>
      </c>
      <c r="I785" s="1">
        <v>0</v>
      </c>
      <c r="J785" s="1">
        <f t="shared" si="90"/>
        <v>50</v>
      </c>
    </row>
    <row r="786" spans="1:10">
      <c r="A786" s="1" t="s">
        <v>28</v>
      </c>
      <c r="B786" s="1" t="str">
        <f>"戚昉瑞"</f>
        <v>戚昉瑞</v>
      </c>
      <c r="C786" s="1" t="str">
        <f>"女"</f>
        <v>女</v>
      </c>
      <c r="D786" s="1" t="str">
        <f t="shared" si="93"/>
        <v>汉族</v>
      </c>
      <c r="E786" s="1" t="str">
        <f>"15062183118"</f>
        <v>15062183118</v>
      </c>
      <c r="F786" s="1">
        <v>31</v>
      </c>
      <c r="G786" s="1">
        <v>18</v>
      </c>
      <c r="H786" s="5">
        <v>59</v>
      </c>
      <c r="I786" s="1">
        <v>0</v>
      </c>
      <c r="J786" s="1">
        <f t="shared" si="90"/>
        <v>59</v>
      </c>
    </row>
    <row r="787" spans="1:10">
      <c r="A787" s="1" t="s">
        <v>28</v>
      </c>
      <c r="B787" s="1" t="str">
        <f>"郝羽香"</f>
        <v>郝羽香</v>
      </c>
      <c r="C787" s="1" t="str">
        <f>"女"</f>
        <v>女</v>
      </c>
      <c r="D787" s="1" t="str">
        <f t="shared" si="93"/>
        <v>汉族</v>
      </c>
      <c r="E787" s="1" t="str">
        <f>"15062183119"</f>
        <v>15062183119</v>
      </c>
      <c r="F787" s="1">
        <v>31</v>
      </c>
      <c r="G787" s="1">
        <v>19</v>
      </c>
      <c r="H787" s="5">
        <v>32</v>
      </c>
      <c r="I787" s="1">
        <v>0</v>
      </c>
      <c r="J787" s="1">
        <f t="shared" si="90"/>
        <v>32</v>
      </c>
    </row>
    <row r="788" spans="1:10">
      <c r="A788" s="1" t="s">
        <v>28</v>
      </c>
      <c r="B788" s="1" t="str">
        <f>"秦建军"</f>
        <v>秦建军</v>
      </c>
      <c r="C788" s="1" t="str">
        <f>"男"</f>
        <v>男</v>
      </c>
      <c r="D788" s="1" t="str">
        <f t="shared" si="93"/>
        <v>汉族</v>
      </c>
      <c r="E788" s="1" t="str">
        <f>"15062183120"</f>
        <v>15062183120</v>
      </c>
      <c r="F788" s="1">
        <v>31</v>
      </c>
      <c r="G788" s="1">
        <v>20</v>
      </c>
      <c r="H788" s="5">
        <v>0</v>
      </c>
      <c r="I788" s="1">
        <v>0</v>
      </c>
      <c r="J788" s="1">
        <f t="shared" si="90"/>
        <v>0</v>
      </c>
    </row>
    <row r="789" spans="1:10">
      <c r="A789" s="1" t="s">
        <v>28</v>
      </c>
      <c r="B789" s="1" t="str">
        <f>"高琴"</f>
        <v>高琴</v>
      </c>
      <c r="C789" s="1" t="str">
        <f>"女"</f>
        <v>女</v>
      </c>
      <c r="D789" s="1" t="str">
        <f t="shared" si="93"/>
        <v>汉族</v>
      </c>
      <c r="E789" s="1" t="str">
        <f>"15062183121"</f>
        <v>15062183121</v>
      </c>
      <c r="F789" s="1">
        <v>31</v>
      </c>
      <c r="G789" s="1">
        <v>21</v>
      </c>
      <c r="H789" s="5">
        <v>53</v>
      </c>
      <c r="I789" s="1">
        <v>0</v>
      </c>
      <c r="J789" s="1">
        <f t="shared" si="90"/>
        <v>53</v>
      </c>
    </row>
    <row r="790" spans="1:10">
      <c r="A790" s="1" t="s">
        <v>28</v>
      </c>
      <c r="B790" s="1" t="str">
        <f>"武永强"</f>
        <v>武永强</v>
      </c>
      <c r="C790" s="1" t="str">
        <f>"男"</f>
        <v>男</v>
      </c>
      <c r="D790" s="1" t="str">
        <f t="shared" si="93"/>
        <v>汉族</v>
      </c>
      <c r="E790" s="1" t="str">
        <f>"15062183122"</f>
        <v>15062183122</v>
      </c>
      <c r="F790" s="1">
        <v>31</v>
      </c>
      <c r="G790" s="1">
        <v>22</v>
      </c>
      <c r="H790" s="5">
        <v>0</v>
      </c>
      <c r="I790" s="1">
        <v>0</v>
      </c>
      <c r="J790" s="1">
        <f t="shared" si="90"/>
        <v>0</v>
      </c>
    </row>
    <row r="791" spans="1:10">
      <c r="A791" s="1" t="s">
        <v>28</v>
      </c>
      <c r="B791" s="1" t="str">
        <f>"郝士榕"</f>
        <v>郝士榕</v>
      </c>
      <c r="C791" s="1" t="str">
        <f>"男"</f>
        <v>男</v>
      </c>
      <c r="D791" s="1" t="str">
        <f t="shared" si="93"/>
        <v>汉族</v>
      </c>
      <c r="E791" s="1" t="str">
        <f>"15062183123"</f>
        <v>15062183123</v>
      </c>
      <c r="F791" s="1">
        <v>31</v>
      </c>
      <c r="G791" s="1">
        <v>23</v>
      </c>
      <c r="H791" s="5">
        <v>0</v>
      </c>
      <c r="I791" s="1">
        <v>0</v>
      </c>
      <c r="J791" s="1">
        <f t="shared" si="90"/>
        <v>0</v>
      </c>
    </row>
    <row r="792" spans="1:10">
      <c r="A792" s="1" t="s">
        <v>28</v>
      </c>
      <c r="B792" s="1" t="str">
        <f>"郭世乐"</f>
        <v>郭世乐</v>
      </c>
      <c r="C792" s="1" t="str">
        <f>"男"</f>
        <v>男</v>
      </c>
      <c r="D792" s="1" t="str">
        <f t="shared" si="93"/>
        <v>汉族</v>
      </c>
      <c r="E792" s="1" t="str">
        <f>"15062183124"</f>
        <v>15062183124</v>
      </c>
      <c r="F792" s="1">
        <v>31</v>
      </c>
      <c r="G792" s="1">
        <v>24</v>
      </c>
      <c r="H792" s="5">
        <v>49</v>
      </c>
      <c r="I792" s="1">
        <v>0</v>
      </c>
      <c r="J792" s="1">
        <f t="shared" si="90"/>
        <v>49</v>
      </c>
    </row>
    <row r="793" spans="1:10">
      <c r="A793" s="1" t="s">
        <v>28</v>
      </c>
      <c r="B793" s="1" t="str">
        <f>"刘晓娜"</f>
        <v>刘晓娜</v>
      </c>
      <c r="C793" s="1" t="str">
        <f>"女"</f>
        <v>女</v>
      </c>
      <c r="D793" s="1" t="str">
        <f t="shared" si="93"/>
        <v>汉族</v>
      </c>
      <c r="E793" s="1" t="str">
        <f>"15062183125"</f>
        <v>15062183125</v>
      </c>
      <c r="F793" s="1">
        <v>31</v>
      </c>
      <c r="G793" s="1">
        <v>25</v>
      </c>
      <c r="H793" s="5">
        <v>53</v>
      </c>
      <c r="I793" s="1">
        <v>0</v>
      </c>
      <c r="J793" s="1">
        <f t="shared" ref="J793:J856" si="94">H793+I793</f>
        <v>53</v>
      </c>
    </row>
    <row r="794" spans="1:10">
      <c r="A794" s="1" t="s">
        <v>28</v>
      </c>
      <c r="B794" s="1" t="str">
        <f>"朱映燃"</f>
        <v>朱映燃</v>
      </c>
      <c r="C794" s="1" t="str">
        <f>"女"</f>
        <v>女</v>
      </c>
      <c r="D794" s="1" t="str">
        <f>"蒙古族"</f>
        <v>蒙古族</v>
      </c>
      <c r="E794" s="1" t="str">
        <f>"15062183126"</f>
        <v>15062183126</v>
      </c>
      <c r="F794" s="1">
        <v>31</v>
      </c>
      <c r="G794" s="1">
        <v>26</v>
      </c>
      <c r="H794" s="5">
        <v>0</v>
      </c>
      <c r="I794" s="1">
        <v>0</v>
      </c>
      <c r="J794" s="1">
        <f t="shared" si="94"/>
        <v>0</v>
      </c>
    </row>
    <row r="795" spans="1:10">
      <c r="A795" s="1" t="s">
        <v>28</v>
      </c>
      <c r="B795" s="1" t="str">
        <f>"吴强"</f>
        <v>吴强</v>
      </c>
      <c r="C795" s="1" t="str">
        <f>"男"</f>
        <v>男</v>
      </c>
      <c r="D795" s="1" t="str">
        <f t="shared" ref="D795:D806" si="95">"汉族"</f>
        <v>汉族</v>
      </c>
      <c r="E795" s="1" t="str">
        <f>"15062183127"</f>
        <v>15062183127</v>
      </c>
      <c r="F795" s="1">
        <v>31</v>
      </c>
      <c r="G795" s="1">
        <v>27</v>
      </c>
      <c r="H795" s="5">
        <v>65</v>
      </c>
      <c r="I795" s="1">
        <v>0</v>
      </c>
      <c r="J795" s="1">
        <f t="shared" si="94"/>
        <v>65</v>
      </c>
    </row>
    <row r="796" spans="1:10">
      <c r="A796" s="1" t="s">
        <v>28</v>
      </c>
      <c r="B796" s="1" t="str">
        <f>"张勇"</f>
        <v>张勇</v>
      </c>
      <c r="C796" s="1" t="str">
        <f>"男"</f>
        <v>男</v>
      </c>
      <c r="D796" s="1" t="str">
        <f t="shared" si="95"/>
        <v>汉族</v>
      </c>
      <c r="E796" s="1" t="str">
        <f>"15062183128"</f>
        <v>15062183128</v>
      </c>
      <c r="F796" s="1">
        <v>31</v>
      </c>
      <c r="G796" s="1">
        <v>28</v>
      </c>
      <c r="H796" s="5">
        <v>49</v>
      </c>
      <c r="I796" s="1">
        <v>0</v>
      </c>
      <c r="J796" s="1">
        <f t="shared" si="94"/>
        <v>49</v>
      </c>
    </row>
    <row r="797" spans="1:10">
      <c r="A797" s="1" t="s">
        <v>28</v>
      </c>
      <c r="B797" s="1" t="str">
        <f>"赵瑞玲"</f>
        <v>赵瑞玲</v>
      </c>
      <c r="C797" s="1" t="str">
        <f>"女"</f>
        <v>女</v>
      </c>
      <c r="D797" s="1" t="str">
        <f t="shared" si="95"/>
        <v>汉族</v>
      </c>
      <c r="E797" s="1" t="str">
        <f>"15062183129"</f>
        <v>15062183129</v>
      </c>
      <c r="F797" s="1">
        <v>31</v>
      </c>
      <c r="G797" s="1">
        <v>29</v>
      </c>
      <c r="H797" s="5">
        <v>0</v>
      </c>
      <c r="I797" s="1">
        <v>0</v>
      </c>
      <c r="J797" s="1">
        <f t="shared" si="94"/>
        <v>0</v>
      </c>
    </row>
    <row r="798" spans="1:10">
      <c r="A798" s="1" t="s">
        <v>28</v>
      </c>
      <c r="B798" s="1" t="str">
        <f>"曹禄禄"</f>
        <v>曹禄禄</v>
      </c>
      <c r="C798" s="1" t="str">
        <f>"女"</f>
        <v>女</v>
      </c>
      <c r="D798" s="1" t="str">
        <f t="shared" si="95"/>
        <v>汉族</v>
      </c>
      <c r="E798" s="1" t="str">
        <f>"15062183130"</f>
        <v>15062183130</v>
      </c>
      <c r="F798" s="1">
        <v>31</v>
      </c>
      <c r="G798" s="1">
        <v>30</v>
      </c>
      <c r="H798" s="5">
        <v>63</v>
      </c>
      <c r="I798" s="1">
        <v>0</v>
      </c>
      <c r="J798" s="1">
        <f t="shared" si="94"/>
        <v>63</v>
      </c>
    </row>
    <row r="799" spans="1:10">
      <c r="A799" s="1" t="s">
        <v>28</v>
      </c>
      <c r="B799" s="1" t="str">
        <f>"温耀香"</f>
        <v>温耀香</v>
      </c>
      <c r="C799" s="1" t="str">
        <f>"女"</f>
        <v>女</v>
      </c>
      <c r="D799" s="1" t="str">
        <f t="shared" si="95"/>
        <v>汉族</v>
      </c>
      <c r="E799" s="1" t="str">
        <f>"15062183201"</f>
        <v>15062183201</v>
      </c>
      <c r="F799" s="1">
        <v>32</v>
      </c>
      <c r="G799" s="1">
        <v>1</v>
      </c>
      <c r="H799" s="5">
        <v>0</v>
      </c>
      <c r="I799" s="1">
        <v>0</v>
      </c>
      <c r="J799" s="1">
        <f t="shared" si="94"/>
        <v>0</v>
      </c>
    </row>
    <row r="800" spans="1:10">
      <c r="A800" s="1" t="s">
        <v>28</v>
      </c>
      <c r="B800" s="1" t="str">
        <f>"郝子涵"</f>
        <v>郝子涵</v>
      </c>
      <c r="C800" s="1" t="str">
        <f>"女"</f>
        <v>女</v>
      </c>
      <c r="D800" s="1" t="str">
        <f t="shared" si="95"/>
        <v>汉族</v>
      </c>
      <c r="E800" s="1" t="str">
        <f>"15062183202"</f>
        <v>15062183202</v>
      </c>
      <c r="F800" s="1">
        <v>32</v>
      </c>
      <c r="G800" s="1">
        <v>2</v>
      </c>
      <c r="H800" s="5">
        <v>56</v>
      </c>
      <c r="I800" s="1">
        <v>0</v>
      </c>
      <c r="J800" s="1">
        <f t="shared" si="94"/>
        <v>56</v>
      </c>
    </row>
    <row r="801" spans="1:10">
      <c r="A801" s="1" t="s">
        <v>28</v>
      </c>
      <c r="B801" s="1" t="str">
        <f>"杨猛"</f>
        <v>杨猛</v>
      </c>
      <c r="C801" s="1" t="str">
        <f>"男"</f>
        <v>男</v>
      </c>
      <c r="D801" s="1" t="str">
        <f t="shared" si="95"/>
        <v>汉族</v>
      </c>
      <c r="E801" s="1" t="str">
        <f>"15062183203"</f>
        <v>15062183203</v>
      </c>
      <c r="F801" s="1">
        <v>32</v>
      </c>
      <c r="G801" s="1">
        <v>3</v>
      </c>
      <c r="H801" s="5">
        <v>0</v>
      </c>
      <c r="I801" s="1">
        <v>0</v>
      </c>
      <c r="J801" s="1">
        <f t="shared" si="94"/>
        <v>0</v>
      </c>
    </row>
    <row r="802" spans="1:10">
      <c r="A802" s="1" t="s">
        <v>28</v>
      </c>
      <c r="B802" s="1" t="str">
        <f>"王燕"</f>
        <v>王燕</v>
      </c>
      <c r="C802" s="1" t="str">
        <f>"女"</f>
        <v>女</v>
      </c>
      <c r="D802" s="1" t="str">
        <f t="shared" si="95"/>
        <v>汉族</v>
      </c>
      <c r="E802" s="1" t="str">
        <f>"15062183204"</f>
        <v>15062183204</v>
      </c>
      <c r="F802" s="1">
        <v>32</v>
      </c>
      <c r="G802" s="1">
        <v>4</v>
      </c>
      <c r="H802" s="5">
        <v>44</v>
      </c>
      <c r="I802" s="1">
        <v>0</v>
      </c>
      <c r="J802" s="1">
        <f t="shared" si="94"/>
        <v>44</v>
      </c>
    </row>
    <row r="803" spans="1:10">
      <c r="A803" s="1" t="s">
        <v>28</v>
      </c>
      <c r="B803" s="1" t="str">
        <f>"范丽霞"</f>
        <v>范丽霞</v>
      </c>
      <c r="C803" s="1" t="str">
        <f>"女"</f>
        <v>女</v>
      </c>
      <c r="D803" s="1" t="str">
        <f t="shared" si="95"/>
        <v>汉族</v>
      </c>
      <c r="E803" s="1" t="str">
        <f>"15062183205"</f>
        <v>15062183205</v>
      </c>
      <c r="F803" s="1">
        <v>32</v>
      </c>
      <c r="G803" s="1">
        <v>5</v>
      </c>
      <c r="H803" s="5">
        <v>0</v>
      </c>
      <c r="I803" s="1">
        <v>0</v>
      </c>
      <c r="J803" s="1">
        <f t="shared" si="94"/>
        <v>0</v>
      </c>
    </row>
    <row r="804" spans="1:10">
      <c r="A804" s="1" t="s">
        <v>28</v>
      </c>
      <c r="B804" s="1" t="str">
        <f>"李舒晨"</f>
        <v>李舒晨</v>
      </c>
      <c r="C804" s="1" t="str">
        <f>"男"</f>
        <v>男</v>
      </c>
      <c r="D804" s="1" t="str">
        <f t="shared" si="95"/>
        <v>汉族</v>
      </c>
      <c r="E804" s="1" t="str">
        <f>"15062183206"</f>
        <v>15062183206</v>
      </c>
      <c r="F804" s="1">
        <v>32</v>
      </c>
      <c r="G804" s="1">
        <v>6</v>
      </c>
      <c r="H804" s="5">
        <v>47</v>
      </c>
      <c r="I804" s="1">
        <v>0</v>
      </c>
      <c r="J804" s="1">
        <f t="shared" si="94"/>
        <v>47</v>
      </c>
    </row>
    <row r="805" spans="1:10">
      <c r="A805" s="1" t="s">
        <v>28</v>
      </c>
      <c r="B805" s="1" t="str">
        <f>"呼啸"</f>
        <v>呼啸</v>
      </c>
      <c r="C805" s="1" t="str">
        <f>"男"</f>
        <v>男</v>
      </c>
      <c r="D805" s="1" t="str">
        <f t="shared" si="95"/>
        <v>汉族</v>
      </c>
      <c r="E805" s="1" t="str">
        <f>"15062183207"</f>
        <v>15062183207</v>
      </c>
      <c r="F805" s="1">
        <v>32</v>
      </c>
      <c r="G805" s="1">
        <v>7</v>
      </c>
      <c r="H805" s="5">
        <v>41</v>
      </c>
      <c r="I805" s="1">
        <v>0</v>
      </c>
      <c r="J805" s="1">
        <f t="shared" si="94"/>
        <v>41</v>
      </c>
    </row>
    <row r="806" spans="1:10">
      <c r="A806" s="1" t="s">
        <v>28</v>
      </c>
      <c r="B806" s="1" t="str">
        <f>"张雪瑶"</f>
        <v>张雪瑶</v>
      </c>
      <c r="C806" s="1" t="str">
        <f>"女"</f>
        <v>女</v>
      </c>
      <c r="D806" s="1" t="str">
        <f t="shared" si="95"/>
        <v>汉族</v>
      </c>
      <c r="E806" s="1" t="str">
        <f>"15062183208"</f>
        <v>15062183208</v>
      </c>
      <c r="F806" s="1">
        <v>32</v>
      </c>
      <c r="G806" s="1">
        <v>8</v>
      </c>
      <c r="H806" s="5">
        <v>0</v>
      </c>
      <c r="I806" s="1">
        <v>0</v>
      </c>
      <c r="J806" s="1">
        <f t="shared" si="94"/>
        <v>0</v>
      </c>
    </row>
    <row r="807" spans="1:10">
      <c r="A807" s="1" t="s">
        <v>28</v>
      </c>
      <c r="B807" s="1" t="str">
        <f>"万家钰"</f>
        <v>万家钰</v>
      </c>
      <c r="C807" s="1" t="str">
        <f>"男"</f>
        <v>男</v>
      </c>
      <c r="D807" s="1" t="str">
        <f>"蒙古族"</f>
        <v>蒙古族</v>
      </c>
      <c r="E807" s="1" t="str">
        <f>"15062183209"</f>
        <v>15062183209</v>
      </c>
      <c r="F807" s="1">
        <v>32</v>
      </c>
      <c r="G807" s="1">
        <v>9</v>
      </c>
      <c r="H807" s="5">
        <v>56</v>
      </c>
      <c r="I807" s="1">
        <v>2.5</v>
      </c>
      <c r="J807" s="1">
        <f t="shared" si="94"/>
        <v>58.5</v>
      </c>
    </row>
    <row r="808" spans="1:10">
      <c r="A808" s="1" t="s">
        <v>28</v>
      </c>
      <c r="B808" s="1" t="str">
        <f>"王悉雯"</f>
        <v>王悉雯</v>
      </c>
      <c r="C808" s="1" t="str">
        <f>"女"</f>
        <v>女</v>
      </c>
      <c r="D808" s="1" t="str">
        <f t="shared" ref="D808:D819" si="96">"汉族"</f>
        <v>汉族</v>
      </c>
      <c r="E808" s="1" t="str">
        <f>"15062183210"</f>
        <v>15062183210</v>
      </c>
      <c r="F808" s="1">
        <v>32</v>
      </c>
      <c r="G808" s="1">
        <v>10</v>
      </c>
      <c r="H808" s="5">
        <v>0</v>
      </c>
      <c r="I808" s="1">
        <v>0</v>
      </c>
      <c r="J808" s="1">
        <f t="shared" si="94"/>
        <v>0</v>
      </c>
    </row>
    <row r="809" spans="1:10">
      <c r="A809" s="1" t="s">
        <v>28</v>
      </c>
      <c r="B809" s="1" t="str">
        <f>"郭虹雨"</f>
        <v>郭虹雨</v>
      </c>
      <c r="C809" s="1" t="str">
        <f>"女"</f>
        <v>女</v>
      </c>
      <c r="D809" s="1" t="str">
        <f t="shared" si="96"/>
        <v>汉族</v>
      </c>
      <c r="E809" s="1" t="str">
        <f>"15062183211"</f>
        <v>15062183211</v>
      </c>
      <c r="F809" s="1">
        <v>32</v>
      </c>
      <c r="G809" s="1">
        <v>11</v>
      </c>
      <c r="H809" s="5">
        <v>63</v>
      </c>
      <c r="I809" s="1">
        <v>0</v>
      </c>
      <c r="J809" s="1">
        <f t="shared" si="94"/>
        <v>63</v>
      </c>
    </row>
    <row r="810" spans="1:10">
      <c r="A810" s="1" t="s">
        <v>28</v>
      </c>
      <c r="B810" s="1" t="str">
        <f>"高馨"</f>
        <v>高馨</v>
      </c>
      <c r="C810" s="1" t="str">
        <f>"女"</f>
        <v>女</v>
      </c>
      <c r="D810" s="1" t="str">
        <f t="shared" si="96"/>
        <v>汉族</v>
      </c>
      <c r="E810" s="1" t="str">
        <f>"15062183212"</f>
        <v>15062183212</v>
      </c>
      <c r="F810" s="1">
        <v>32</v>
      </c>
      <c r="G810" s="1">
        <v>12</v>
      </c>
      <c r="H810" s="5">
        <v>0</v>
      </c>
      <c r="I810" s="1">
        <v>0</v>
      </c>
      <c r="J810" s="1">
        <f t="shared" si="94"/>
        <v>0</v>
      </c>
    </row>
    <row r="811" spans="1:10">
      <c r="A811" s="1" t="s">
        <v>28</v>
      </c>
      <c r="B811" s="1" t="str">
        <f>"樊雯"</f>
        <v>樊雯</v>
      </c>
      <c r="C811" s="1" t="str">
        <f>"女"</f>
        <v>女</v>
      </c>
      <c r="D811" s="1" t="str">
        <f t="shared" si="96"/>
        <v>汉族</v>
      </c>
      <c r="E811" s="1" t="str">
        <f>"15062183213"</f>
        <v>15062183213</v>
      </c>
      <c r="F811" s="1">
        <v>32</v>
      </c>
      <c r="G811" s="1">
        <v>13</v>
      </c>
      <c r="H811" s="5">
        <v>57</v>
      </c>
      <c r="I811" s="1">
        <v>0</v>
      </c>
      <c r="J811" s="1">
        <f t="shared" si="94"/>
        <v>57</v>
      </c>
    </row>
    <row r="812" spans="1:10">
      <c r="A812" s="1" t="s">
        <v>28</v>
      </c>
      <c r="B812" s="1" t="str">
        <f>"周子援"</f>
        <v>周子援</v>
      </c>
      <c r="C812" s="1" t="str">
        <f>"男"</f>
        <v>男</v>
      </c>
      <c r="D812" s="1" t="str">
        <f t="shared" si="96"/>
        <v>汉族</v>
      </c>
      <c r="E812" s="1" t="str">
        <f>"15062183214"</f>
        <v>15062183214</v>
      </c>
      <c r="F812" s="1">
        <v>32</v>
      </c>
      <c r="G812" s="1">
        <v>14</v>
      </c>
      <c r="H812" s="5">
        <v>51</v>
      </c>
      <c r="I812" s="1">
        <v>0</v>
      </c>
      <c r="J812" s="1">
        <f t="shared" si="94"/>
        <v>51</v>
      </c>
    </row>
    <row r="813" spans="1:10">
      <c r="A813" s="1" t="s">
        <v>28</v>
      </c>
      <c r="B813" s="1" t="str">
        <f>"赵宇熙"</f>
        <v>赵宇熙</v>
      </c>
      <c r="C813" s="1" t="str">
        <f>"男"</f>
        <v>男</v>
      </c>
      <c r="D813" s="1" t="str">
        <f t="shared" si="96"/>
        <v>汉族</v>
      </c>
      <c r="E813" s="1" t="str">
        <f>"15062183215"</f>
        <v>15062183215</v>
      </c>
      <c r="F813" s="1">
        <v>32</v>
      </c>
      <c r="G813" s="1">
        <v>15</v>
      </c>
      <c r="H813" s="5">
        <v>44</v>
      </c>
      <c r="I813" s="1">
        <v>0</v>
      </c>
      <c r="J813" s="1">
        <f t="shared" si="94"/>
        <v>44</v>
      </c>
    </row>
    <row r="814" spans="1:10">
      <c r="A814" s="1" t="s">
        <v>28</v>
      </c>
      <c r="B814" s="1" t="str">
        <f>"李璐"</f>
        <v>李璐</v>
      </c>
      <c r="C814" s="1" t="str">
        <f>"女"</f>
        <v>女</v>
      </c>
      <c r="D814" s="1" t="str">
        <f t="shared" si="96"/>
        <v>汉族</v>
      </c>
      <c r="E814" s="1" t="str">
        <f>"15062183216"</f>
        <v>15062183216</v>
      </c>
      <c r="F814" s="1">
        <v>32</v>
      </c>
      <c r="G814" s="1">
        <v>16</v>
      </c>
      <c r="H814" s="5">
        <v>58</v>
      </c>
      <c r="I814" s="1">
        <v>0</v>
      </c>
      <c r="J814" s="1">
        <f t="shared" si="94"/>
        <v>58</v>
      </c>
    </row>
    <row r="815" spans="1:10">
      <c r="A815" s="1" t="s">
        <v>28</v>
      </c>
      <c r="B815" s="1" t="str">
        <f>"高洋"</f>
        <v>高洋</v>
      </c>
      <c r="C815" s="1" t="str">
        <f>"男"</f>
        <v>男</v>
      </c>
      <c r="D815" s="1" t="str">
        <f t="shared" si="96"/>
        <v>汉族</v>
      </c>
      <c r="E815" s="1" t="str">
        <f>"15062183217"</f>
        <v>15062183217</v>
      </c>
      <c r="F815" s="1">
        <v>32</v>
      </c>
      <c r="G815" s="1">
        <v>17</v>
      </c>
      <c r="H815" s="5">
        <v>53</v>
      </c>
      <c r="I815" s="1">
        <v>0</v>
      </c>
      <c r="J815" s="1">
        <f t="shared" si="94"/>
        <v>53</v>
      </c>
    </row>
    <row r="816" spans="1:10">
      <c r="A816" s="1" t="s">
        <v>28</v>
      </c>
      <c r="B816" s="1" t="str">
        <f>"张力文"</f>
        <v>张力文</v>
      </c>
      <c r="C816" s="1" t="str">
        <f t="shared" ref="C816:C822" si="97">"女"</f>
        <v>女</v>
      </c>
      <c r="D816" s="1" t="str">
        <f t="shared" si="96"/>
        <v>汉族</v>
      </c>
      <c r="E816" s="1" t="str">
        <f>"15062183218"</f>
        <v>15062183218</v>
      </c>
      <c r="F816" s="1">
        <v>32</v>
      </c>
      <c r="G816" s="1">
        <v>18</v>
      </c>
      <c r="H816" s="5">
        <v>56</v>
      </c>
      <c r="I816" s="1">
        <v>0</v>
      </c>
      <c r="J816" s="1">
        <f t="shared" si="94"/>
        <v>56</v>
      </c>
    </row>
    <row r="817" spans="1:10">
      <c r="A817" s="1" t="s">
        <v>28</v>
      </c>
      <c r="B817" s="1" t="str">
        <f>"朱娜"</f>
        <v>朱娜</v>
      </c>
      <c r="C817" s="1" t="str">
        <f t="shared" si="97"/>
        <v>女</v>
      </c>
      <c r="D817" s="1" t="str">
        <f t="shared" si="96"/>
        <v>汉族</v>
      </c>
      <c r="E817" s="1" t="str">
        <f>"15062183219"</f>
        <v>15062183219</v>
      </c>
      <c r="F817" s="1">
        <v>32</v>
      </c>
      <c r="G817" s="1">
        <v>19</v>
      </c>
      <c r="H817" s="5">
        <v>46</v>
      </c>
      <c r="I817" s="1">
        <v>0</v>
      </c>
      <c r="J817" s="1">
        <f t="shared" si="94"/>
        <v>46</v>
      </c>
    </row>
    <row r="818" spans="1:10">
      <c r="A818" s="1" t="s">
        <v>28</v>
      </c>
      <c r="B818" s="1" t="str">
        <f>"郝雅坤"</f>
        <v>郝雅坤</v>
      </c>
      <c r="C818" s="1" t="str">
        <f t="shared" si="97"/>
        <v>女</v>
      </c>
      <c r="D818" s="1" t="str">
        <f t="shared" si="96"/>
        <v>汉族</v>
      </c>
      <c r="E818" s="1" t="str">
        <f>"15062183220"</f>
        <v>15062183220</v>
      </c>
      <c r="F818" s="1">
        <v>32</v>
      </c>
      <c r="G818" s="1">
        <v>20</v>
      </c>
      <c r="H818" s="5">
        <v>57</v>
      </c>
      <c r="I818" s="1">
        <v>0</v>
      </c>
      <c r="J818" s="1">
        <f t="shared" si="94"/>
        <v>57</v>
      </c>
    </row>
    <row r="819" spans="1:10">
      <c r="A819" s="1" t="s">
        <v>28</v>
      </c>
      <c r="B819" s="1" t="str">
        <f>"李彩霞"</f>
        <v>李彩霞</v>
      </c>
      <c r="C819" s="1" t="str">
        <f t="shared" si="97"/>
        <v>女</v>
      </c>
      <c r="D819" s="1" t="str">
        <f t="shared" si="96"/>
        <v>汉族</v>
      </c>
      <c r="E819" s="1" t="str">
        <f>"15062183221"</f>
        <v>15062183221</v>
      </c>
      <c r="F819" s="1">
        <v>32</v>
      </c>
      <c r="G819" s="1">
        <v>21</v>
      </c>
      <c r="H819" s="5">
        <v>0</v>
      </c>
      <c r="I819" s="1">
        <v>0</v>
      </c>
      <c r="J819" s="1">
        <f t="shared" si="94"/>
        <v>0</v>
      </c>
    </row>
    <row r="820" spans="1:10">
      <c r="A820" s="1" t="s">
        <v>28</v>
      </c>
      <c r="B820" s="1" t="str">
        <f>"哈利雅"</f>
        <v>哈利雅</v>
      </c>
      <c r="C820" s="1" t="str">
        <f t="shared" si="97"/>
        <v>女</v>
      </c>
      <c r="D820" s="1" t="str">
        <f>"蒙古族"</f>
        <v>蒙古族</v>
      </c>
      <c r="E820" s="1" t="str">
        <f>"15062183222"</f>
        <v>15062183222</v>
      </c>
      <c r="F820" s="1">
        <v>32</v>
      </c>
      <c r="G820" s="1">
        <v>22</v>
      </c>
      <c r="H820" s="5">
        <v>0</v>
      </c>
      <c r="I820" s="1">
        <v>0</v>
      </c>
      <c r="J820" s="1">
        <f t="shared" si="94"/>
        <v>0</v>
      </c>
    </row>
    <row r="821" spans="1:10">
      <c r="A821" s="1" t="s">
        <v>28</v>
      </c>
      <c r="B821" s="1" t="str">
        <f>"金蓉"</f>
        <v>金蓉</v>
      </c>
      <c r="C821" s="1" t="str">
        <f t="shared" si="97"/>
        <v>女</v>
      </c>
      <c r="D821" s="1" t="str">
        <f>"汉族"</f>
        <v>汉族</v>
      </c>
      <c r="E821" s="1" t="str">
        <f>"15062183223"</f>
        <v>15062183223</v>
      </c>
      <c r="F821" s="1">
        <v>32</v>
      </c>
      <c r="G821" s="1">
        <v>23</v>
      </c>
      <c r="H821" s="5">
        <v>55</v>
      </c>
      <c r="I821" s="1">
        <v>0</v>
      </c>
      <c r="J821" s="1">
        <f t="shared" si="94"/>
        <v>55</v>
      </c>
    </row>
    <row r="822" spans="1:10">
      <c r="A822" s="1" t="s">
        <v>28</v>
      </c>
      <c r="B822" s="1" t="str">
        <f>"杨茹"</f>
        <v>杨茹</v>
      </c>
      <c r="C822" s="1" t="str">
        <f t="shared" si="97"/>
        <v>女</v>
      </c>
      <c r="D822" s="1" t="str">
        <f>"汉族"</f>
        <v>汉族</v>
      </c>
      <c r="E822" s="1" t="str">
        <f>"15062183224"</f>
        <v>15062183224</v>
      </c>
      <c r="F822" s="1">
        <v>32</v>
      </c>
      <c r="G822" s="1">
        <v>24</v>
      </c>
      <c r="H822" s="5">
        <v>41</v>
      </c>
      <c r="I822" s="1">
        <v>0</v>
      </c>
      <c r="J822" s="1">
        <f t="shared" si="94"/>
        <v>41</v>
      </c>
    </row>
    <row r="823" spans="1:10">
      <c r="A823" s="1" t="s">
        <v>28</v>
      </c>
      <c r="B823" s="1" t="str">
        <f>"刘科"</f>
        <v>刘科</v>
      </c>
      <c r="C823" s="1" t="str">
        <f>"男"</f>
        <v>男</v>
      </c>
      <c r="D823" s="1" t="str">
        <f>"汉族"</f>
        <v>汉族</v>
      </c>
      <c r="E823" s="1" t="str">
        <f>"15062183225"</f>
        <v>15062183225</v>
      </c>
      <c r="F823" s="1">
        <v>32</v>
      </c>
      <c r="G823" s="1">
        <v>25</v>
      </c>
      <c r="H823" s="5">
        <v>0</v>
      </c>
      <c r="I823" s="1">
        <v>0</v>
      </c>
      <c r="J823" s="1">
        <f t="shared" si="94"/>
        <v>0</v>
      </c>
    </row>
    <row r="824" spans="1:10">
      <c r="A824" s="1" t="s">
        <v>28</v>
      </c>
      <c r="B824" s="1" t="str">
        <f>"秦琳"</f>
        <v>秦琳</v>
      </c>
      <c r="C824" s="1" t="str">
        <f>"女"</f>
        <v>女</v>
      </c>
      <c r="D824" s="1" t="str">
        <f>"汉族"</f>
        <v>汉族</v>
      </c>
      <c r="E824" s="1" t="str">
        <f>"15062183226"</f>
        <v>15062183226</v>
      </c>
      <c r="F824" s="1">
        <v>32</v>
      </c>
      <c r="G824" s="1">
        <v>26</v>
      </c>
      <c r="H824" s="5">
        <v>0</v>
      </c>
      <c r="I824" s="1">
        <v>0</v>
      </c>
      <c r="J824" s="1">
        <f t="shared" si="94"/>
        <v>0</v>
      </c>
    </row>
    <row r="825" spans="1:10">
      <c r="A825" s="1" t="s">
        <v>28</v>
      </c>
      <c r="B825" s="1" t="str">
        <f>"雪冬"</f>
        <v>雪冬</v>
      </c>
      <c r="C825" s="1" t="str">
        <f>"男"</f>
        <v>男</v>
      </c>
      <c r="D825" s="1" t="str">
        <f>"蒙古族"</f>
        <v>蒙古族</v>
      </c>
      <c r="E825" s="1" t="str">
        <f>"15062183227"</f>
        <v>15062183227</v>
      </c>
      <c r="F825" s="1">
        <v>32</v>
      </c>
      <c r="G825" s="1">
        <v>27</v>
      </c>
      <c r="H825" s="5">
        <v>0</v>
      </c>
      <c r="I825" s="1">
        <v>0</v>
      </c>
      <c r="J825" s="1">
        <f t="shared" si="94"/>
        <v>0</v>
      </c>
    </row>
    <row r="826" spans="1:10">
      <c r="A826" s="1" t="s">
        <v>28</v>
      </c>
      <c r="B826" s="1" t="str">
        <f>"赵娜"</f>
        <v>赵娜</v>
      </c>
      <c r="C826" s="1" t="str">
        <f>"女"</f>
        <v>女</v>
      </c>
      <c r="D826" s="1" t="str">
        <f>"汉族"</f>
        <v>汉族</v>
      </c>
      <c r="E826" s="1" t="str">
        <f>"15062183228"</f>
        <v>15062183228</v>
      </c>
      <c r="F826" s="1">
        <v>32</v>
      </c>
      <c r="G826" s="1">
        <v>28</v>
      </c>
      <c r="H826" s="5">
        <v>0</v>
      </c>
      <c r="I826" s="1">
        <v>0</v>
      </c>
      <c r="J826" s="1">
        <f t="shared" si="94"/>
        <v>0</v>
      </c>
    </row>
    <row r="827" spans="1:10">
      <c r="A827" s="1" t="s">
        <v>28</v>
      </c>
      <c r="B827" s="1" t="str">
        <f>"龚媛"</f>
        <v>龚媛</v>
      </c>
      <c r="C827" s="1" t="str">
        <f>"女"</f>
        <v>女</v>
      </c>
      <c r="D827" s="1" t="str">
        <f>"汉族"</f>
        <v>汉族</v>
      </c>
      <c r="E827" s="1" t="str">
        <f>"15062183229"</f>
        <v>15062183229</v>
      </c>
      <c r="F827" s="1">
        <v>32</v>
      </c>
      <c r="G827" s="1">
        <v>29</v>
      </c>
      <c r="H827" s="5">
        <v>0</v>
      </c>
      <c r="I827" s="1">
        <v>0</v>
      </c>
      <c r="J827" s="1">
        <f t="shared" si="94"/>
        <v>0</v>
      </c>
    </row>
    <row r="828" spans="1:10">
      <c r="A828" s="1" t="s">
        <v>28</v>
      </c>
      <c r="B828" s="1" t="str">
        <f>"杨馥瑞"</f>
        <v>杨馥瑞</v>
      </c>
      <c r="C828" s="1" t="str">
        <f>"女"</f>
        <v>女</v>
      </c>
      <c r="D828" s="1" t="str">
        <f>"汉族"</f>
        <v>汉族</v>
      </c>
      <c r="E828" s="1" t="str">
        <f>"15062183230"</f>
        <v>15062183230</v>
      </c>
      <c r="F828" s="1">
        <v>32</v>
      </c>
      <c r="G828" s="1">
        <v>30</v>
      </c>
      <c r="H828" s="5">
        <v>59</v>
      </c>
      <c r="I828" s="1">
        <v>0</v>
      </c>
      <c r="J828" s="1">
        <f t="shared" si="94"/>
        <v>59</v>
      </c>
    </row>
    <row r="829" spans="1:10">
      <c r="A829" s="1" t="s">
        <v>28</v>
      </c>
      <c r="B829" s="1" t="str">
        <f>"王贺韬"</f>
        <v>王贺韬</v>
      </c>
      <c r="C829" s="1" t="str">
        <f>"女"</f>
        <v>女</v>
      </c>
      <c r="D829" s="1" t="str">
        <f>"汉族"</f>
        <v>汉族</v>
      </c>
      <c r="E829" s="1" t="str">
        <f>"15062183301"</f>
        <v>15062183301</v>
      </c>
      <c r="F829" s="1">
        <v>33</v>
      </c>
      <c r="G829" s="1">
        <v>1</v>
      </c>
      <c r="H829" s="5">
        <v>65</v>
      </c>
      <c r="I829" s="1">
        <v>0</v>
      </c>
      <c r="J829" s="1">
        <f t="shared" si="94"/>
        <v>65</v>
      </c>
    </row>
    <row r="830" spans="1:10">
      <c r="A830" s="1" t="s">
        <v>28</v>
      </c>
      <c r="B830" s="1" t="str">
        <f>"胡玥"</f>
        <v>胡玥</v>
      </c>
      <c r="C830" s="1" t="str">
        <f>"女"</f>
        <v>女</v>
      </c>
      <c r="D830" s="1" t="str">
        <f>"蒙古族"</f>
        <v>蒙古族</v>
      </c>
      <c r="E830" s="1" t="str">
        <f>"15062183302"</f>
        <v>15062183302</v>
      </c>
      <c r="F830" s="1">
        <v>33</v>
      </c>
      <c r="G830" s="1">
        <v>2</v>
      </c>
      <c r="H830" s="5">
        <v>45</v>
      </c>
      <c r="I830" s="1">
        <v>2.5</v>
      </c>
      <c r="J830" s="1">
        <f t="shared" si="94"/>
        <v>47.5</v>
      </c>
    </row>
    <row r="831" spans="1:10">
      <c r="A831" s="1" t="s">
        <v>28</v>
      </c>
      <c r="B831" s="1" t="str">
        <f>"周凯"</f>
        <v>周凯</v>
      </c>
      <c r="C831" s="1" t="str">
        <f>"男"</f>
        <v>男</v>
      </c>
      <c r="D831" s="1" t="str">
        <f t="shared" ref="D831:D840" si="98">"汉族"</f>
        <v>汉族</v>
      </c>
      <c r="E831" s="1" t="str">
        <f>"15062183303"</f>
        <v>15062183303</v>
      </c>
      <c r="F831" s="1">
        <v>33</v>
      </c>
      <c r="G831" s="1">
        <v>3</v>
      </c>
      <c r="H831" s="5">
        <v>63</v>
      </c>
      <c r="I831" s="1">
        <v>0</v>
      </c>
      <c r="J831" s="1">
        <f t="shared" si="94"/>
        <v>63</v>
      </c>
    </row>
    <row r="832" spans="1:10">
      <c r="A832" s="1" t="s">
        <v>28</v>
      </c>
      <c r="B832" s="1" t="str">
        <f>"王欣雅"</f>
        <v>王欣雅</v>
      </c>
      <c r="C832" s="1" t="str">
        <f>"女"</f>
        <v>女</v>
      </c>
      <c r="D832" s="1" t="str">
        <f t="shared" si="98"/>
        <v>汉族</v>
      </c>
      <c r="E832" s="1" t="str">
        <f>"15062183304"</f>
        <v>15062183304</v>
      </c>
      <c r="F832" s="1">
        <v>33</v>
      </c>
      <c r="G832" s="1">
        <v>4</v>
      </c>
      <c r="H832" s="5">
        <v>0</v>
      </c>
      <c r="I832" s="1">
        <v>0</v>
      </c>
      <c r="J832" s="1">
        <f t="shared" si="94"/>
        <v>0</v>
      </c>
    </row>
    <row r="833" spans="1:10">
      <c r="A833" s="1" t="s">
        <v>28</v>
      </c>
      <c r="B833" s="1" t="str">
        <f>"兰婷"</f>
        <v>兰婷</v>
      </c>
      <c r="C833" s="1" t="str">
        <f>"女"</f>
        <v>女</v>
      </c>
      <c r="D833" s="1" t="str">
        <f t="shared" si="98"/>
        <v>汉族</v>
      </c>
      <c r="E833" s="1" t="str">
        <f>"15062183305"</f>
        <v>15062183305</v>
      </c>
      <c r="F833" s="1">
        <v>33</v>
      </c>
      <c r="G833" s="1">
        <v>5</v>
      </c>
      <c r="H833" s="5">
        <v>48</v>
      </c>
      <c r="I833" s="1">
        <v>0</v>
      </c>
      <c r="J833" s="1">
        <f t="shared" si="94"/>
        <v>48</v>
      </c>
    </row>
    <row r="834" spans="1:10">
      <c r="A834" s="1" t="s">
        <v>28</v>
      </c>
      <c r="B834" s="1" t="str">
        <f>"杨磊"</f>
        <v>杨磊</v>
      </c>
      <c r="C834" s="1" t="str">
        <f>"男"</f>
        <v>男</v>
      </c>
      <c r="D834" s="1" t="str">
        <f t="shared" si="98"/>
        <v>汉族</v>
      </c>
      <c r="E834" s="1" t="str">
        <f>"15062183306"</f>
        <v>15062183306</v>
      </c>
      <c r="F834" s="1">
        <v>33</v>
      </c>
      <c r="G834" s="1">
        <v>6</v>
      </c>
      <c r="H834" s="5">
        <v>0</v>
      </c>
      <c r="I834" s="1">
        <v>0</v>
      </c>
      <c r="J834" s="1">
        <f t="shared" si="94"/>
        <v>0</v>
      </c>
    </row>
    <row r="835" spans="1:10">
      <c r="A835" s="1" t="s">
        <v>28</v>
      </c>
      <c r="B835" s="1" t="str">
        <f>"郭新宇"</f>
        <v>郭新宇</v>
      </c>
      <c r="C835" s="1" t="str">
        <f>"男"</f>
        <v>男</v>
      </c>
      <c r="D835" s="1" t="str">
        <f t="shared" si="98"/>
        <v>汉族</v>
      </c>
      <c r="E835" s="1" t="str">
        <f>"15062183307"</f>
        <v>15062183307</v>
      </c>
      <c r="F835" s="1">
        <v>33</v>
      </c>
      <c r="G835" s="1">
        <v>7</v>
      </c>
      <c r="H835" s="5">
        <v>53</v>
      </c>
      <c r="I835" s="1">
        <v>0</v>
      </c>
      <c r="J835" s="1">
        <f t="shared" si="94"/>
        <v>53</v>
      </c>
    </row>
    <row r="836" spans="1:10">
      <c r="A836" s="1" t="s">
        <v>28</v>
      </c>
      <c r="B836" s="1" t="str">
        <f>"周虹"</f>
        <v>周虹</v>
      </c>
      <c r="C836" s="1" t="str">
        <f>"女"</f>
        <v>女</v>
      </c>
      <c r="D836" s="1" t="str">
        <f t="shared" si="98"/>
        <v>汉族</v>
      </c>
      <c r="E836" s="1" t="str">
        <f>"15062183308"</f>
        <v>15062183308</v>
      </c>
      <c r="F836" s="1">
        <v>33</v>
      </c>
      <c r="G836" s="1">
        <v>8</v>
      </c>
      <c r="H836" s="5">
        <v>0</v>
      </c>
      <c r="I836" s="1">
        <v>0</v>
      </c>
      <c r="J836" s="1">
        <f t="shared" si="94"/>
        <v>0</v>
      </c>
    </row>
    <row r="837" spans="1:10">
      <c r="A837" s="1" t="s">
        <v>28</v>
      </c>
      <c r="B837" s="1" t="str">
        <f>"赵秀秀"</f>
        <v>赵秀秀</v>
      </c>
      <c r="C837" s="1" t="str">
        <f>"女"</f>
        <v>女</v>
      </c>
      <c r="D837" s="1" t="str">
        <f t="shared" si="98"/>
        <v>汉族</v>
      </c>
      <c r="E837" s="1" t="str">
        <f>"15062183309"</f>
        <v>15062183309</v>
      </c>
      <c r="F837" s="1">
        <v>33</v>
      </c>
      <c r="G837" s="1">
        <v>9</v>
      </c>
      <c r="H837" s="5">
        <v>0</v>
      </c>
      <c r="I837" s="1">
        <v>0</v>
      </c>
      <c r="J837" s="1">
        <f t="shared" si="94"/>
        <v>0</v>
      </c>
    </row>
    <row r="838" spans="1:10">
      <c r="A838" s="1" t="s">
        <v>28</v>
      </c>
      <c r="B838" s="1" t="str">
        <f>"焦荣"</f>
        <v>焦荣</v>
      </c>
      <c r="C838" s="1" t="str">
        <f>"女"</f>
        <v>女</v>
      </c>
      <c r="D838" s="1" t="str">
        <f t="shared" si="98"/>
        <v>汉族</v>
      </c>
      <c r="E838" s="1" t="str">
        <f>"15062183310"</f>
        <v>15062183310</v>
      </c>
      <c r="F838" s="1">
        <v>33</v>
      </c>
      <c r="G838" s="1">
        <v>10</v>
      </c>
      <c r="H838" s="5">
        <v>46</v>
      </c>
      <c r="I838" s="1">
        <v>0</v>
      </c>
      <c r="J838" s="1">
        <f t="shared" si="94"/>
        <v>46</v>
      </c>
    </row>
    <row r="839" spans="1:10">
      <c r="A839" s="1" t="s">
        <v>28</v>
      </c>
      <c r="B839" s="1" t="str">
        <f>"杨录"</f>
        <v>杨录</v>
      </c>
      <c r="C839" s="1" t="str">
        <f>"女"</f>
        <v>女</v>
      </c>
      <c r="D839" s="1" t="str">
        <f t="shared" si="98"/>
        <v>汉族</v>
      </c>
      <c r="E839" s="1" t="str">
        <f>"15062183311"</f>
        <v>15062183311</v>
      </c>
      <c r="F839" s="1">
        <v>33</v>
      </c>
      <c r="G839" s="1">
        <v>11</v>
      </c>
      <c r="H839" s="5">
        <v>0</v>
      </c>
      <c r="I839" s="1">
        <v>0</v>
      </c>
      <c r="J839" s="1">
        <f t="shared" si="94"/>
        <v>0</v>
      </c>
    </row>
    <row r="840" spans="1:10">
      <c r="A840" s="1" t="s">
        <v>28</v>
      </c>
      <c r="B840" s="1" t="str">
        <f>"杨艳"</f>
        <v>杨艳</v>
      </c>
      <c r="C840" s="1" t="str">
        <f>"女"</f>
        <v>女</v>
      </c>
      <c r="D840" s="1" t="str">
        <f t="shared" si="98"/>
        <v>汉族</v>
      </c>
      <c r="E840" s="1" t="str">
        <f>"15062183312"</f>
        <v>15062183312</v>
      </c>
      <c r="F840" s="1">
        <v>33</v>
      </c>
      <c r="G840" s="1">
        <v>12</v>
      </c>
      <c r="H840" s="5">
        <v>0</v>
      </c>
      <c r="I840" s="1">
        <v>0</v>
      </c>
      <c r="J840" s="1">
        <f t="shared" si="94"/>
        <v>0</v>
      </c>
    </row>
    <row r="841" spans="1:10">
      <c r="A841" s="1" t="s">
        <v>28</v>
      </c>
      <c r="B841" s="1" t="str">
        <f>"朝勒门"</f>
        <v>朝勒门</v>
      </c>
      <c r="C841" s="1" t="str">
        <f>"男"</f>
        <v>男</v>
      </c>
      <c r="D841" s="1" t="str">
        <f>"蒙古族"</f>
        <v>蒙古族</v>
      </c>
      <c r="E841" s="1" t="str">
        <f>"15062183313"</f>
        <v>15062183313</v>
      </c>
      <c r="F841" s="1">
        <v>33</v>
      </c>
      <c r="G841" s="1">
        <v>13</v>
      </c>
      <c r="H841" s="5">
        <v>48</v>
      </c>
      <c r="I841" s="1">
        <v>2.5</v>
      </c>
      <c r="J841" s="1">
        <f t="shared" si="94"/>
        <v>50.5</v>
      </c>
    </row>
    <row r="842" spans="1:10">
      <c r="A842" s="1" t="s">
        <v>28</v>
      </c>
      <c r="B842" s="1" t="str">
        <f>"郭彩霞"</f>
        <v>郭彩霞</v>
      </c>
      <c r="C842" s="1" t="str">
        <f t="shared" ref="C842:C848" si="99">"女"</f>
        <v>女</v>
      </c>
      <c r="D842" s="1" t="str">
        <f>"汉族"</f>
        <v>汉族</v>
      </c>
      <c r="E842" s="1" t="str">
        <f>"15062183314"</f>
        <v>15062183314</v>
      </c>
      <c r="F842" s="1">
        <v>33</v>
      </c>
      <c r="G842" s="1">
        <v>14</v>
      </c>
      <c r="H842" s="5">
        <v>62</v>
      </c>
      <c r="I842" s="1">
        <v>0</v>
      </c>
      <c r="J842" s="1">
        <f t="shared" si="94"/>
        <v>62</v>
      </c>
    </row>
    <row r="843" spans="1:10">
      <c r="A843" s="1" t="s">
        <v>28</v>
      </c>
      <c r="B843" s="1" t="str">
        <f>"贾二茹"</f>
        <v>贾二茹</v>
      </c>
      <c r="C843" s="1" t="str">
        <f t="shared" si="99"/>
        <v>女</v>
      </c>
      <c r="D843" s="1" t="str">
        <f>"汉族"</f>
        <v>汉族</v>
      </c>
      <c r="E843" s="1" t="str">
        <f>"15062183315"</f>
        <v>15062183315</v>
      </c>
      <c r="F843" s="1">
        <v>33</v>
      </c>
      <c r="G843" s="1">
        <v>15</v>
      </c>
      <c r="H843" s="5">
        <v>0</v>
      </c>
      <c r="I843" s="1">
        <v>0</v>
      </c>
      <c r="J843" s="1">
        <f t="shared" si="94"/>
        <v>0</v>
      </c>
    </row>
    <row r="844" spans="1:10">
      <c r="A844" s="1" t="s">
        <v>28</v>
      </c>
      <c r="B844" s="1" t="str">
        <f>"杨珠娜"</f>
        <v>杨珠娜</v>
      </c>
      <c r="C844" s="1" t="str">
        <f t="shared" si="99"/>
        <v>女</v>
      </c>
      <c r="D844" s="1" t="str">
        <f>"蒙古族"</f>
        <v>蒙古族</v>
      </c>
      <c r="E844" s="1" t="str">
        <f>"15062183316"</f>
        <v>15062183316</v>
      </c>
      <c r="F844" s="1">
        <v>33</v>
      </c>
      <c r="G844" s="1">
        <v>16</v>
      </c>
      <c r="H844" s="5">
        <v>52</v>
      </c>
      <c r="I844" s="1">
        <v>2.5</v>
      </c>
      <c r="J844" s="1">
        <f t="shared" si="94"/>
        <v>54.5</v>
      </c>
    </row>
    <row r="845" spans="1:10">
      <c r="A845" s="1" t="s">
        <v>28</v>
      </c>
      <c r="B845" s="1" t="str">
        <f>"訾春梅"</f>
        <v>訾春梅</v>
      </c>
      <c r="C845" s="1" t="str">
        <f t="shared" si="99"/>
        <v>女</v>
      </c>
      <c r="D845" s="1" t="str">
        <f>"汉族"</f>
        <v>汉族</v>
      </c>
      <c r="E845" s="1" t="str">
        <f>"15062183317"</f>
        <v>15062183317</v>
      </c>
      <c r="F845" s="1">
        <v>33</v>
      </c>
      <c r="G845" s="1">
        <v>17</v>
      </c>
      <c r="H845" s="5">
        <v>50</v>
      </c>
      <c r="I845" s="1">
        <v>0</v>
      </c>
      <c r="J845" s="1">
        <f t="shared" si="94"/>
        <v>50</v>
      </c>
    </row>
    <row r="846" spans="1:10">
      <c r="A846" s="1" t="s">
        <v>28</v>
      </c>
      <c r="B846" s="1" t="str">
        <f>"希如"</f>
        <v>希如</v>
      </c>
      <c r="C846" s="1" t="str">
        <f t="shared" si="99"/>
        <v>女</v>
      </c>
      <c r="D846" s="1" t="str">
        <f>"蒙古族"</f>
        <v>蒙古族</v>
      </c>
      <c r="E846" s="1" t="str">
        <f>"15062183318"</f>
        <v>15062183318</v>
      </c>
      <c r="F846" s="1">
        <v>33</v>
      </c>
      <c r="G846" s="1">
        <v>18</v>
      </c>
      <c r="H846" s="5">
        <v>44</v>
      </c>
      <c r="I846" s="1">
        <v>2.5</v>
      </c>
      <c r="J846" s="1">
        <f t="shared" si="94"/>
        <v>46.5</v>
      </c>
    </row>
    <row r="847" spans="1:10">
      <c r="A847" s="1" t="s">
        <v>28</v>
      </c>
      <c r="B847" s="1" t="str">
        <f>"任姣"</f>
        <v>任姣</v>
      </c>
      <c r="C847" s="1" t="str">
        <f t="shared" si="99"/>
        <v>女</v>
      </c>
      <c r="D847" s="1" t="str">
        <f>"汉族"</f>
        <v>汉族</v>
      </c>
      <c r="E847" s="1" t="str">
        <f>"15062183319"</f>
        <v>15062183319</v>
      </c>
      <c r="F847" s="1">
        <v>33</v>
      </c>
      <c r="G847" s="1">
        <v>19</v>
      </c>
      <c r="H847" s="5">
        <v>51</v>
      </c>
      <c r="I847" s="1">
        <v>0</v>
      </c>
      <c r="J847" s="1">
        <f t="shared" si="94"/>
        <v>51</v>
      </c>
    </row>
    <row r="848" spans="1:10">
      <c r="A848" s="1" t="s">
        <v>28</v>
      </c>
      <c r="B848" s="1" t="str">
        <f>"霍冉怡"</f>
        <v>霍冉怡</v>
      </c>
      <c r="C848" s="1" t="str">
        <f t="shared" si="99"/>
        <v>女</v>
      </c>
      <c r="D848" s="1" t="str">
        <f>"汉族"</f>
        <v>汉族</v>
      </c>
      <c r="E848" s="1" t="str">
        <f>"15062183320"</f>
        <v>15062183320</v>
      </c>
      <c r="F848" s="1">
        <v>33</v>
      </c>
      <c r="G848" s="1">
        <v>20</v>
      </c>
      <c r="H848" s="5">
        <v>0</v>
      </c>
      <c r="I848" s="1">
        <v>0</v>
      </c>
      <c r="J848" s="1">
        <f t="shared" si="94"/>
        <v>0</v>
      </c>
    </row>
    <row r="849" spans="1:10">
      <c r="A849" s="1" t="s">
        <v>28</v>
      </c>
      <c r="B849" s="1" t="str">
        <f>"折国强"</f>
        <v>折国强</v>
      </c>
      <c r="C849" s="1" t="str">
        <f>"男"</f>
        <v>男</v>
      </c>
      <c r="D849" s="1" t="str">
        <f>"汉族"</f>
        <v>汉族</v>
      </c>
      <c r="E849" s="1" t="str">
        <f>"15062183321"</f>
        <v>15062183321</v>
      </c>
      <c r="F849" s="1">
        <v>33</v>
      </c>
      <c r="G849" s="1">
        <v>21</v>
      </c>
      <c r="H849" s="5">
        <v>0</v>
      </c>
      <c r="I849" s="1">
        <v>0</v>
      </c>
      <c r="J849" s="1">
        <f t="shared" si="94"/>
        <v>0</v>
      </c>
    </row>
    <row r="850" spans="1:10">
      <c r="A850" s="1" t="s">
        <v>28</v>
      </c>
      <c r="B850" s="1" t="str">
        <f>"鲁小凤"</f>
        <v>鲁小凤</v>
      </c>
      <c r="C850" s="1" t="str">
        <f>"女"</f>
        <v>女</v>
      </c>
      <c r="D850" s="1" t="str">
        <f>"汉族"</f>
        <v>汉族</v>
      </c>
      <c r="E850" s="1" t="str">
        <f>"15062183322"</f>
        <v>15062183322</v>
      </c>
      <c r="F850" s="1">
        <v>33</v>
      </c>
      <c r="G850" s="1">
        <v>22</v>
      </c>
      <c r="H850" s="5">
        <v>0</v>
      </c>
      <c r="I850" s="1">
        <v>0</v>
      </c>
      <c r="J850" s="1">
        <f t="shared" si="94"/>
        <v>0</v>
      </c>
    </row>
    <row r="851" spans="1:10">
      <c r="A851" s="1" t="s">
        <v>28</v>
      </c>
      <c r="B851" s="1" t="str">
        <f>"赵月瑶"</f>
        <v>赵月瑶</v>
      </c>
      <c r="C851" s="1" t="str">
        <f>"女"</f>
        <v>女</v>
      </c>
      <c r="D851" s="1" t="str">
        <f>"蒙古族"</f>
        <v>蒙古族</v>
      </c>
      <c r="E851" s="1" t="str">
        <f>"15062183323"</f>
        <v>15062183323</v>
      </c>
      <c r="F851" s="1">
        <v>33</v>
      </c>
      <c r="G851" s="1">
        <v>23</v>
      </c>
      <c r="H851" s="5">
        <v>0</v>
      </c>
      <c r="I851" s="1">
        <v>0</v>
      </c>
      <c r="J851" s="1">
        <f t="shared" si="94"/>
        <v>0</v>
      </c>
    </row>
    <row r="852" spans="1:10">
      <c r="A852" s="1" t="s">
        <v>28</v>
      </c>
      <c r="B852" s="1" t="str">
        <f>"边硕娇"</f>
        <v>边硕娇</v>
      </c>
      <c r="C852" s="1" t="str">
        <f>"女"</f>
        <v>女</v>
      </c>
      <c r="D852" s="1" t="str">
        <f>"汉族"</f>
        <v>汉族</v>
      </c>
      <c r="E852" s="1" t="str">
        <f>"15062183324"</f>
        <v>15062183324</v>
      </c>
      <c r="F852" s="1">
        <v>33</v>
      </c>
      <c r="G852" s="1">
        <v>24</v>
      </c>
      <c r="H852" s="5">
        <v>0</v>
      </c>
      <c r="I852" s="1">
        <v>0</v>
      </c>
      <c r="J852" s="1">
        <f t="shared" si="94"/>
        <v>0</v>
      </c>
    </row>
    <row r="853" spans="1:10">
      <c r="A853" s="1" t="s">
        <v>28</v>
      </c>
      <c r="B853" s="1" t="str">
        <f>"刘江"</f>
        <v>刘江</v>
      </c>
      <c r="C853" s="1" t="str">
        <f>"男"</f>
        <v>男</v>
      </c>
      <c r="D853" s="1" t="str">
        <f>"汉族"</f>
        <v>汉族</v>
      </c>
      <c r="E853" s="1" t="str">
        <f>"15062183325"</f>
        <v>15062183325</v>
      </c>
      <c r="F853" s="1">
        <v>33</v>
      </c>
      <c r="G853" s="1">
        <v>25</v>
      </c>
      <c r="H853" s="5">
        <v>48</v>
      </c>
      <c r="I853" s="1">
        <v>0</v>
      </c>
      <c r="J853" s="1">
        <f t="shared" si="94"/>
        <v>48</v>
      </c>
    </row>
    <row r="854" spans="1:10">
      <c r="A854" s="1" t="s">
        <v>28</v>
      </c>
      <c r="B854" s="1" t="str">
        <f>"李秣溦"</f>
        <v>李秣溦</v>
      </c>
      <c r="C854" s="1" t="str">
        <f>"女"</f>
        <v>女</v>
      </c>
      <c r="D854" s="1" t="str">
        <f>"汉族"</f>
        <v>汉族</v>
      </c>
      <c r="E854" s="1" t="str">
        <f>"15062183326"</f>
        <v>15062183326</v>
      </c>
      <c r="F854" s="1">
        <v>33</v>
      </c>
      <c r="G854" s="1">
        <v>26</v>
      </c>
      <c r="H854" s="5">
        <v>36</v>
      </c>
      <c r="I854" s="1">
        <v>0</v>
      </c>
      <c r="J854" s="1">
        <f t="shared" si="94"/>
        <v>36</v>
      </c>
    </row>
    <row r="855" spans="1:10">
      <c r="A855" s="1" t="s">
        <v>28</v>
      </c>
      <c r="B855" s="1" t="str">
        <f>"刘鲜"</f>
        <v>刘鲜</v>
      </c>
      <c r="C855" s="1" t="str">
        <f>"女"</f>
        <v>女</v>
      </c>
      <c r="D855" s="1" t="str">
        <f>"汉族"</f>
        <v>汉族</v>
      </c>
      <c r="E855" s="1" t="str">
        <f>"15062183327"</f>
        <v>15062183327</v>
      </c>
      <c r="F855" s="1">
        <v>33</v>
      </c>
      <c r="G855" s="1">
        <v>27</v>
      </c>
      <c r="H855" s="5">
        <v>0</v>
      </c>
      <c r="I855" s="1">
        <v>0</v>
      </c>
      <c r="J855" s="1">
        <f t="shared" si="94"/>
        <v>0</v>
      </c>
    </row>
    <row r="856" spans="1:10">
      <c r="A856" s="1" t="s">
        <v>28</v>
      </c>
      <c r="B856" s="1" t="str">
        <f>"伊丽娜"</f>
        <v>伊丽娜</v>
      </c>
      <c r="C856" s="1" t="str">
        <f>"女"</f>
        <v>女</v>
      </c>
      <c r="D856" s="1" t="str">
        <f>"蒙古族"</f>
        <v>蒙古族</v>
      </c>
      <c r="E856" s="1" t="str">
        <f>"15062183328"</f>
        <v>15062183328</v>
      </c>
      <c r="F856" s="1">
        <v>33</v>
      </c>
      <c r="G856" s="1">
        <v>28</v>
      </c>
      <c r="H856" s="5">
        <v>52</v>
      </c>
      <c r="I856" s="1">
        <v>2.5</v>
      </c>
      <c r="J856" s="1">
        <f t="shared" si="94"/>
        <v>54.5</v>
      </c>
    </row>
    <row r="857" spans="1:10">
      <c r="A857" s="1" t="s">
        <v>28</v>
      </c>
      <c r="B857" s="1" t="str">
        <f>"王仕亨"</f>
        <v>王仕亨</v>
      </c>
      <c r="C857" s="1" t="str">
        <f>"男"</f>
        <v>男</v>
      </c>
      <c r="D857" s="1" t="str">
        <f t="shared" ref="D857:D867" si="100">"汉族"</f>
        <v>汉族</v>
      </c>
      <c r="E857" s="1" t="str">
        <f>"15062183329"</f>
        <v>15062183329</v>
      </c>
      <c r="F857" s="1">
        <v>33</v>
      </c>
      <c r="G857" s="1">
        <v>29</v>
      </c>
      <c r="H857" s="5">
        <v>0</v>
      </c>
      <c r="I857" s="1">
        <v>0</v>
      </c>
      <c r="J857" s="1">
        <f t="shared" ref="J857:J920" si="101">H857+I857</f>
        <v>0</v>
      </c>
    </row>
    <row r="858" spans="1:10">
      <c r="A858" s="1" t="s">
        <v>28</v>
      </c>
      <c r="B858" s="1" t="str">
        <f>"王悦"</f>
        <v>王悦</v>
      </c>
      <c r="C858" s="1" t="str">
        <f t="shared" ref="C858:C864" si="102">"女"</f>
        <v>女</v>
      </c>
      <c r="D858" s="1" t="str">
        <f t="shared" si="100"/>
        <v>汉族</v>
      </c>
      <c r="E858" s="1" t="str">
        <f>"15062183330"</f>
        <v>15062183330</v>
      </c>
      <c r="F858" s="1">
        <v>33</v>
      </c>
      <c r="G858" s="1">
        <v>30</v>
      </c>
      <c r="H858" s="5">
        <v>62</v>
      </c>
      <c r="I858" s="1">
        <v>0</v>
      </c>
      <c r="J858" s="1">
        <f t="shared" si="101"/>
        <v>62</v>
      </c>
    </row>
    <row r="859" spans="1:10">
      <c r="A859" s="1" t="s">
        <v>28</v>
      </c>
      <c r="B859" s="1" t="str">
        <f>"闫彩虹"</f>
        <v>闫彩虹</v>
      </c>
      <c r="C859" s="1" t="str">
        <f t="shared" si="102"/>
        <v>女</v>
      </c>
      <c r="D859" s="1" t="str">
        <f t="shared" si="100"/>
        <v>汉族</v>
      </c>
      <c r="E859" s="1" t="str">
        <f>"15062183401"</f>
        <v>15062183401</v>
      </c>
      <c r="F859" s="1">
        <v>34</v>
      </c>
      <c r="G859" s="1">
        <v>1</v>
      </c>
      <c r="H859" s="5">
        <v>53</v>
      </c>
      <c r="I859" s="1">
        <v>0</v>
      </c>
      <c r="J859" s="1">
        <f t="shared" si="101"/>
        <v>53</v>
      </c>
    </row>
    <row r="860" spans="1:10">
      <c r="A860" s="1" t="s">
        <v>28</v>
      </c>
      <c r="B860" s="1" t="str">
        <f>"赵楠"</f>
        <v>赵楠</v>
      </c>
      <c r="C860" s="1" t="str">
        <f t="shared" si="102"/>
        <v>女</v>
      </c>
      <c r="D860" s="1" t="str">
        <f t="shared" si="100"/>
        <v>汉族</v>
      </c>
      <c r="E860" s="1" t="str">
        <f>"15062183402"</f>
        <v>15062183402</v>
      </c>
      <c r="F860" s="1">
        <v>34</v>
      </c>
      <c r="G860" s="1">
        <v>2</v>
      </c>
      <c r="H860" s="5">
        <v>0</v>
      </c>
      <c r="I860" s="1">
        <v>0</v>
      </c>
      <c r="J860" s="1">
        <f t="shared" si="101"/>
        <v>0</v>
      </c>
    </row>
    <row r="861" spans="1:10">
      <c r="A861" s="1" t="s">
        <v>28</v>
      </c>
      <c r="B861" s="1" t="str">
        <f>"张敏"</f>
        <v>张敏</v>
      </c>
      <c r="C861" s="1" t="str">
        <f t="shared" si="102"/>
        <v>女</v>
      </c>
      <c r="D861" s="1" t="str">
        <f t="shared" si="100"/>
        <v>汉族</v>
      </c>
      <c r="E861" s="1" t="str">
        <f>"15062183403"</f>
        <v>15062183403</v>
      </c>
      <c r="F861" s="1">
        <v>34</v>
      </c>
      <c r="G861" s="1">
        <v>3</v>
      </c>
      <c r="H861" s="5">
        <v>49</v>
      </c>
      <c r="I861" s="1">
        <v>0</v>
      </c>
      <c r="J861" s="1">
        <f t="shared" si="101"/>
        <v>49</v>
      </c>
    </row>
    <row r="862" spans="1:10">
      <c r="A862" s="1" t="s">
        <v>28</v>
      </c>
      <c r="B862" s="1" t="str">
        <f>"杜敏"</f>
        <v>杜敏</v>
      </c>
      <c r="C862" s="1" t="str">
        <f t="shared" si="102"/>
        <v>女</v>
      </c>
      <c r="D862" s="1" t="str">
        <f t="shared" si="100"/>
        <v>汉族</v>
      </c>
      <c r="E862" s="1" t="str">
        <f>"15062183404"</f>
        <v>15062183404</v>
      </c>
      <c r="F862" s="1">
        <v>34</v>
      </c>
      <c r="G862" s="1">
        <v>4</v>
      </c>
      <c r="H862" s="5">
        <v>50</v>
      </c>
      <c r="I862" s="1">
        <v>0</v>
      </c>
      <c r="J862" s="1">
        <f t="shared" si="101"/>
        <v>50</v>
      </c>
    </row>
    <row r="863" spans="1:10">
      <c r="A863" s="1" t="s">
        <v>28</v>
      </c>
      <c r="B863" s="1" t="str">
        <f>"王娜"</f>
        <v>王娜</v>
      </c>
      <c r="C863" s="1" t="str">
        <f t="shared" si="102"/>
        <v>女</v>
      </c>
      <c r="D863" s="1" t="str">
        <f t="shared" si="100"/>
        <v>汉族</v>
      </c>
      <c r="E863" s="1" t="str">
        <f>"15062183405"</f>
        <v>15062183405</v>
      </c>
      <c r="F863" s="1">
        <v>34</v>
      </c>
      <c r="G863" s="1">
        <v>5</v>
      </c>
      <c r="H863" s="5">
        <v>51</v>
      </c>
      <c r="I863" s="1">
        <v>0</v>
      </c>
      <c r="J863" s="1">
        <f t="shared" si="101"/>
        <v>51</v>
      </c>
    </row>
    <row r="864" spans="1:10">
      <c r="A864" s="1" t="s">
        <v>28</v>
      </c>
      <c r="B864" s="1" t="str">
        <f>"杨璐"</f>
        <v>杨璐</v>
      </c>
      <c r="C864" s="1" t="str">
        <f t="shared" si="102"/>
        <v>女</v>
      </c>
      <c r="D864" s="1" t="str">
        <f t="shared" si="100"/>
        <v>汉族</v>
      </c>
      <c r="E864" s="1" t="str">
        <f>"15062183406"</f>
        <v>15062183406</v>
      </c>
      <c r="F864" s="1">
        <v>34</v>
      </c>
      <c r="G864" s="1">
        <v>6</v>
      </c>
      <c r="H864" s="5">
        <v>63</v>
      </c>
      <c r="I864" s="1">
        <v>0</v>
      </c>
      <c r="J864" s="1">
        <f t="shared" si="101"/>
        <v>63</v>
      </c>
    </row>
    <row r="865" spans="1:10">
      <c r="A865" s="1" t="s">
        <v>28</v>
      </c>
      <c r="B865" s="1" t="str">
        <f>"李磊"</f>
        <v>李磊</v>
      </c>
      <c r="C865" s="1" t="str">
        <f>"男"</f>
        <v>男</v>
      </c>
      <c r="D865" s="1" t="str">
        <f t="shared" si="100"/>
        <v>汉族</v>
      </c>
      <c r="E865" s="1" t="str">
        <f>"15062183407"</f>
        <v>15062183407</v>
      </c>
      <c r="F865" s="1">
        <v>34</v>
      </c>
      <c r="G865" s="1">
        <v>7</v>
      </c>
      <c r="H865" s="5">
        <v>0</v>
      </c>
      <c r="I865" s="1">
        <v>0</v>
      </c>
      <c r="J865" s="1">
        <f t="shared" si="101"/>
        <v>0</v>
      </c>
    </row>
    <row r="866" spans="1:10">
      <c r="A866" s="1" t="s">
        <v>28</v>
      </c>
      <c r="B866" s="1" t="str">
        <f>"刘丹"</f>
        <v>刘丹</v>
      </c>
      <c r="C866" s="1" t="str">
        <f t="shared" ref="C866:C873" si="103">"女"</f>
        <v>女</v>
      </c>
      <c r="D866" s="1" t="str">
        <f t="shared" si="100"/>
        <v>汉族</v>
      </c>
      <c r="E866" s="1" t="str">
        <f>"15062183408"</f>
        <v>15062183408</v>
      </c>
      <c r="F866" s="1">
        <v>34</v>
      </c>
      <c r="G866" s="1">
        <v>8</v>
      </c>
      <c r="H866" s="5">
        <v>44</v>
      </c>
      <c r="I866" s="1">
        <v>0</v>
      </c>
      <c r="J866" s="1">
        <f t="shared" si="101"/>
        <v>44</v>
      </c>
    </row>
    <row r="867" spans="1:10">
      <c r="A867" s="1" t="s">
        <v>28</v>
      </c>
      <c r="B867" s="1" t="str">
        <f>"邬宇"</f>
        <v>邬宇</v>
      </c>
      <c r="C867" s="1" t="str">
        <f t="shared" si="103"/>
        <v>女</v>
      </c>
      <c r="D867" s="1" t="str">
        <f t="shared" si="100"/>
        <v>汉族</v>
      </c>
      <c r="E867" s="1" t="str">
        <f>"15062183409"</f>
        <v>15062183409</v>
      </c>
      <c r="F867" s="1">
        <v>34</v>
      </c>
      <c r="G867" s="1">
        <v>9</v>
      </c>
      <c r="H867" s="5">
        <v>44</v>
      </c>
      <c r="I867" s="1">
        <v>0</v>
      </c>
      <c r="J867" s="1">
        <f t="shared" si="101"/>
        <v>44</v>
      </c>
    </row>
    <row r="868" spans="1:10">
      <c r="A868" s="1" t="s">
        <v>28</v>
      </c>
      <c r="B868" s="1" t="str">
        <f>"脑干陶日嘎"</f>
        <v>脑干陶日嘎</v>
      </c>
      <c r="C868" s="1" t="str">
        <f t="shared" si="103"/>
        <v>女</v>
      </c>
      <c r="D868" s="1" t="str">
        <f>"蒙古族"</f>
        <v>蒙古族</v>
      </c>
      <c r="E868" s="1" t="str">
        <f>"15062183410"</f>
        <v>15062183410</v>
      </c>
      <c r="F868" s="1">
        <v>34</v>
      </c>
      <c r="G868" s="1">
        <v>10</v>
      </c>
      <c r="H868" s="5">
        <v>36</v>
      </c>
      <c r="I868" s="1">
        <v>2.5</v>
      </c>
      <c r="J868" s="1">
        <f t="shared" si="101"/>
        <v>38.5</v>
      </c>
    </row>
    <row r="869" spans="1:10">
      <c r="A869" s="1" t="s">
        <v>28</v>
      </c>
      <c r="B869" s="1" t="str">
        <f>"张红"</f>
        <v>张红</v>
      </c>
      <c r="C869" s="1" t="str">
        <f t="shared" si="103"/>
        <v>女</v>
      </c>
      <c r="D869" s="1" t="str">
        <f t="shared" ref="D869:D875" si="104">"汉族"</f>
        <v>汉族</v>
      </c>
      <c r="E869" s="1" t="str">
        <f>"15062183411"</f>
        <v>15062183411</v>
      </c>
      <c r="F869" s="1">
        <v>34</v>
      </c>
      <c r="G869" s="1">
        <v>11</v>
      </c>
      <c r="H869" s="5">
        <v>0</v>
      </c>
      <c r="I869" s="1">
        <v>0</v>
      </c>
      <c r="J869" s="1">
        <f t="shared" si="101"/>
        <v>0</v>
      </c>
    </row>
    <row r="870" spans="1:10">
      <c r="A870" s="1" t="s">
        <v>28</v>
      </c>
      <c r="B870" s="1" t="str">
        <f>"杜敏"</f>
        <v>杜敏</v>
      </c>
      <c r="C870" s="1" t="str">
        <f t="shared" si="103"/>
        <v>女</v>
      </c>
      <c r="D870" s="1" t="str">
        <f t="shared" si="104"/>
        <v>汉族</v>
      </c>
      <c r="E870" s="1" t="str">
        <f>"15062183412"</f>
        <v>15062183412</v>
      </c>
      <c r="F870" s="1">
        <v>34</v>
      </c>
      <c r="G870" s="1">
        <v>12</v>
      </c>
      <c r="H870" s="5">
        <v>0</v>
      </c>
      <c r="I870" s="1">
        <v>0</v>
      </c>
      <c r="J870" s="1">
        <f t="shared" si="101"/>
        <v>0</v>
      </c>
    </row>
    <row r="871" spans="1:10">
      <c r="A871" s="1" t="s">
        <v>28</v>
      </c>
      <c r="B871" s="1" t="str">
        <f>"高也婷"</f>
        <v>高也婷</v>
      </c>
      <c r="C871" s="1" t="str">
        <f t="shared" si="103"/>
        <v>女</v>
      </c>
      <c r="D871" s="1" t="str">
        <f t="shared" si="104"/>
        <v>汉族</v>
      </c>
      <c r="E871" s="1" t="str">
        <f>"15062183413"</f>
        <v>15062183413</v>
      </c>
      <c r="F871" s="1">
        <v>34</v>
      </c>
      <c r="G871" s="1">
        <v>13</v>
      </c>
      <c r="H871" s="5">
        <v>51</v>
      </c>
      <c r="I871" s="1">
        <v>0</v>
      </c>
      <c r="J871" s="1">
        <f t="shared" si="101"/>
        <v>51</v>
      </c>
    </row>
    <row r="872" spans="1:10">
      <c r="A872" s="1" t="s">
        <v>28</v>
      </c>
      <c r="B872" s="1" t="str">
        <f>"陆倩"</f>
        <v>陆倩</v>
      </c>
      <c r="C872" s="1" t="str">
        <f t="shared" si="103"/>
        <v>女</v>
      </c>
      <c r="D872" s="1" t="str">
        <f t="shared" si="104"/>
        <v>汉族</v>
      </c>
      <c r="E872" s="1" t="str">
        <f>"15062183414"</f>
        <v>15062183414</v>
      </c>
      <c r="F872" s="1">
        <v>34</v>
      </c>
      <c r="G872" s="1">
        <v>14</v>
      </c>
      <c r="H872" s="5">
        <v>47</v>
      </c>
      <c r="I872" s="1">
        <v>0</v>
      </c>
      <c r="J872" s="1">
        <f t="shared" si="101"/>
        <v>47</v>
      </c>
    </row>
    <row r="873" spans="1:10">
      <c r="A873" s="1" t="s">
        <v>28</v>
      </c>
      <c r="B873" s="1" t="str">
        <f>"杜花鹏"</f>
        <v>杜花鹏</v>
      </c>
      <c r="C873" s="1" t="str">
        <f t="shared" si="103"/>
        <v>女</v>
      </c>
      <c r="D873" s="1" t="str">
        <f t="shared" si="104"/>
        <v>汉族</v>
      </c>
      <c r="E873" s="1" t="str">
        <f>"15062183415"</f>
        <v>15062183415</v>
      </c>
      <c r="F873" s="1">
        <v>34</v>
      </c>
      <c r="G873" s="1">
        <v>15</v>
      </c>
      <c r="H873" s="5">
        <v>49</v>
      </c>
      <c r="I873" s="1">
        <v>0</v>
      </c>
      <c r="J873" s="1">
        <f t="shared" si="101"/>
        <v>49</v>
      </c>
    </row>
    <row r="874" spans="1:10">
      <c r="A874" s="1" t="s">
        <v>28</v>
      </c>
      <c r="B874" s="1" t="str">
        <f>"闫鹏程"</f>
        <v>闫鹏程</v>
      </c>
      <c r="C874" s="1" t="str">
        <f>"男"</f>
        <v>男</v>
      </c>
      <c r="D874" s="1" t="str">
        <f t="shared" si="104"/>
        <v>汉族</v>
      </c>
      <c r="E874" s="1" t="str">
        <f>"15062183416"</f>
        <v>15062183416</v>
      </c>
      <c r="F874" s="1">
        <v>34</v>
      </c>
      <c r="G874" s="1">
        <v>16</v>
      </c>
      <c r="H874" s="5">
        <v>0</v>
      </c>
      <c r="I874" s="1">
        <v>0</v>
      </c>
      <c r="J874" s="1">
        <f t="shared" si="101"/>
        <v>0</v>
      </c>
    </row>
    <row r="875" spans="1:10">
      <c r="A875" s="1" t="s">
        <v>28</v>
      </c>
      <c r="B875" s="1" t="str">
        <f>"兰婷"</f>
        <v>兰婷</v>
      </c>
      <c r="C875" s="1" t="str">
        <f>"女"</f>
        <v>女</v>
      </c>
      <c r="D875" s="1" t="str">
        <f t="shared" si="104"/>
        <v>汉族</v>
      </c>
      <c r="E875" s="1" t="str">
        <f>"15062183417"</f>
        <v>15062183417</v>
      </c>
      <c r="F875" s="1">
        <v>34</v>
      </c>
      <c r="G875" s="1">
        <v>17</v>
      </c>
      <c r="H875" s="5">
        <v>0</v>
      </c>
      <c r="I875" s="1">
        <v>0</v>
      </c>
      <c r="J875" s="1">
        <f t="shared" si="101"/>
        <v>0</v>
      </c>
    </row>
    <row r="876" spans="1:10">
      <c r="A876" s="1" t="s">
        <v>28</v>
      </c>
      <c r="B876" s="1" t="str">
        <f>"韩宇峰"</f>
        <v>韩宇峰</v>
      </c>
      <c r="C876" s="1" t="str">
        <f>"男"</f>
        <v>男</v>
      </c>
      <c r="D876" s="1" t="str">
        <f>"蒙古族"</f>
        <v>蒙古族</v>
      </c>
      <c r="E876" s="1" t="str">
        <f>"15062183418"</f>
        <v>15062183418</v>
      </c>
      <c r="F876" s="1">
        <v>34</v>
      </c>
      <c r="G876" s="1">
        <v>18</v>
      </c>
      <c r="H876" s="5">
        <v>52</v>
      </c>
      <c r="I876" s="1">
        <v>2.5</v>
      </c>
      <c r="J876" s="1">
        <f t="shared" si="101"/>
        <v>54.5</v>
      </c>
    </row>
    <row r="877" spans="1:10">
      <c r="A877" s="1" t="s">
        <v>28</v>
      </c>
      <c r="B877" s="1" t="str">
        <f>"贾桃"</f>
        <v>贾桃</v>
      </c>
      <c r="C877" s="1" t="str">
        <f>"女"</f>
        <v>女</v>
      </c>
      <c r="D877" s="1" t="str">
        <f t="shared" ref="D877:D883" si="105">"汉族"</f>
        <v>汉族</v>
      </c>
      <c r="E877" s="1" t="str">
        <f>"15062183419"</f>
        <v>15062183419</v>
      </c>
      <c r="F877" s="1">
        <v>34</v>
      </c>
      <c r="G877" s="1">
        <v>19</v>
      </c>
      <c r="H877" s="5">
        <v>50</v>
      </c>
      <c r="I877" s="1">
        <v>0</v>
      </c>
      <c r="J877" s="1">
        <f t="shared" si="101"/>
        <v>50</v>
      </c>
    </row>
    <row r="878" spans="1:10">
      <c r="A878" s="1" t="s">
        <v>28</v>
      </c>
      <c r="B878" s="1" t="str">
        <f>"王琛嵘"</f>
        <v>王琛嵘</v>
      </c>
      <c r="C878" s="1" t="str">
        <f>"男"</f>
        <v>男</v>
      </c>
      <c r="D878" s="1" t="str">
        <f t="shared" si="105"/>
        <v>汉族</v>
      </c>
      <c r="E878" s="1" t="str">
        <f>"15062183420"</f>
        <v>15062183420</v>
      </c>
      <c r="F878" s="1">
        <v>34</v>
      </c>
      <c r="G878" s="1">
        <v>20</v>
      </c>
      <c r="H878" s="5">
        <v>44</v>
      </c>
      <c r="I878" s="1">
        <v>0</v>
      </c>
      <c r="J878" s="1">
        <f t="shared" si="101"/>
        <v>44</v>
      </c>
    </row>
    <row r="879" spans="1:10">
      <c r="A879" s="1" t="s">
        <v>28</v>
      </c>
      <c r="B879" s="1" t="str">
        <f>"刘杰锋"</f>
        <v>刘杰锋</v>
      </c>
      <c r="C879" s="1" t="str">
        <f>"男"</f>
        <v>男</v>
      </c>
      <c r="D879" s="1" t="str">
        <f t="shared" si="105"/>
        <v>汉族</v>
      </c>
      <c r="E879" s="1" t="str">
        <f>"15062183421"</f>
        <v>15062183421</v>
      </c>
      <c r="F879" s="1">
        <v>34</v>
      </c>
      <c r="G879" s="1">
        <v>21</v>
      </c>
      <c r="H879" s="5">
        <v>0</v>
      </c>
      <c r="I879" s="1">
        <v>0</v>
      </c>
      <c r="J879" s="1">
        <f t="shared" si="101"/>
        <v>0</v>
      </c>
    </row>
    <row r="880" spans="1:10">
      <c r="A880" s="1" t="s">
        <v>28</v>
      </c>
      <c r="B880" s="1" t="str">
        <f>"李婷"</f>
        <v>李婷</v>
      </c>
      <c r="C880" s="1" t="str">
        <f>"女"</f>
        <v>女</v>
      </c>
      <c r="D880" s="1" t="str">
        <f t="shared" si="105"/>
        <v>汉族</v>
      </c>
      <c r="E880" s="1" t="str">
        <f>"15062183422"</f>
        <v>15062183422</v>
      </c>
      <c r="F880" s="1">
        <v>34</v>
      </c>
      <c r="G880" s="1">
        <v>22</v>
      </c>
      <c r="H880" s="5">
        <v>35</v>
      </c>
      <c r="I880" s="1">
        <v>0</v>
      </c>
      <c r="J880" s="1">
        <f t="shared" si="101"/>
        <v>35</v>
      </c>
    </row>
    <row r="881" spans="1:10">
      <c r="A881" s="1" t="s">
        <v>28</v>
      </c>
      <c r="B881" s="1" t="str">
        <f>"乔翠粉"</f>
        <v>乔翠粉</v>
      </c>
      <c r="C881" s="1" t="str">
        <f>"女"</f>
        <v>女</v>
      </c>
      <c r="D881" s="1" t="str">
        <f t="shared" si="105"/>
        <v>汉族</v>
      </c>
      <c r="E881" s="1" t="str">
        <f>"15062183423"</f>
        <v>15062183423</v>
      </c>
      <c r="F881" s="1">
        <v>34</v>
      </c>
      <c r="G881" s="1">
        <v>23</v>
      </c>
      <c r="H881" s="5">
        <v>0</v>
      </c>
      <c r="I881" s="1">
        <v>0</v>
      </c>
      <c r="J881" s="1">
        <f t="shared" si="101"/>
        <v>0</v>
      </c>
    </row>
    <row r="882" spans="1:10">
      <c r="A882" s="1" t="s">
        <v>28</v>
      </c>
      <c r="B882" s="1" t="str">
        <f>"高云飞"</f>
        <v>高云飞</v>
      </c>
      <c r="C882" s="1" t="str">
        <f>"男"</f>
        <v>男</v>
      </c>
      <c r="D882" s="1" t="str">
        <f t="shared" si="105"/>
        <v>汉族</v>
      </c>
      <c r="E882" s="1" t="str">
        <f>"15062183424"</f>
        <v>15062183424</v>
      </c>
      <c r="F882" s="1">
        <v>34</v>
      </c>
      <c r="G882" s="1">
        <v>24</v>
      </c>
      <c r="H882" s="5">
        <v>0</v>
      </c>
      <c r="I882" s="1">
        <v>0</v>
      </c>
      <c r="J882" s="1">
        <f t="shared" si="101"/>
        <v>0</v>
      </c>
    </row>
    <row r="883" spans="1:10">
      <c r="A883" s="1" t="s">
        <v>28</v>
      </c>
      <c r="B883" s="1" t="str">
        <f>"张仙"</f>
        <v>张仙</v>
      </c>
      <c r="C883" s="1" t="str">
        <f>"女"</f>
        <v>女</v>
      </c>
      <c r="D883" s="1" t="str">
        <f t="shared" si="105"/>
        <v>汉族</v>
      </c>
      <c r="E883" s="1" t="str">
        <f>"15062183425"</f>
        <v>15062183425</v>
      </c>
      <c r="F883" s="1">
        <v>34</v>
      </c>
      <c r="G883" s="1">
        <v>25</v>
      </c>
      <c r="H883" s="5">
        <v>43</v>
      </c>
      <c r="I883" s="1">
        <v>0</v>
      </c>
      <c r="J883" s="1">
        <f t="shared" si="101"/>
        <v>43</v>
      </c>
    </row>
    <row r="884" spans="1:10">
      <c r="A884" s="1" t="s">
        <v>28</v>
      </c>
      <c r="B884" s="1" t="str">
        <f>"吕亮"</f>
        <v>吕亮</v>
      </c>
      <c r="C884" s="1" t="str">
        <f>"男"</f>
        <v>男</v>
      </c>
      <c r="D884" s="1" t="str">
        <f>"蒙古族"</f>
        <v>蒙古族</v>
      </c>
      <c r="E884" s="1" t="str">
        <f>"15062183426"</f>
        <v>15062183426</v>
      </c>
      <c r="F884" s="1">
        <v>34</v>
      </c>
      <c r="G884" s="1">
        <v>26</v>
      </c>
      <c r="H884" s="5">
        <v>52</v>
      </c>
      <c r="I884" s="1">
        <v>2.5</v>
      </c>
      <c r="J884" s="1">
        <f t="shared" si="101"/>
        <v>54.5</v>
      </c>
    </row>
    <row r="885" spans="1:10">
      <c r="A885" s="1" t="s">
        <v>28</v>
      </c>
      <c r="B885" s="1" t="str">
        <f>"李佳聲"</f>
        <v>李佳聲</v>
      </c>
      <c r="C885" s="1" t="str">
        <f>"女"</f>
        <v>女</v>
      </c>
      <c r="D885" s="1" t="str">
        <f t="shared" ref="D885:D890" si="106">"汉族"</f>
        <v>汉族</v>
      </c>
      <c r="E885" s="1" t="str">
        <f>"15062183427"</f>
        <v>15062183427</v>
      </c>
      <c r="F885" s="1">
        <v>34</v>
      </c>
      <c r="G885" s="1">
        <v>27</v>
      </c>
      <c r="H885" s="5">
        <v>0</v>
      </c>
      <c r="I885" s="1">
        <v>0</v>
      </c>
      <c r="J885" s="1">
        <f t="shared" si="101"/>
        <v>0</v>
      </c>
    </row>
    <row r="886" spans="1:10">
      <c r="A886" s="1" t="s">
        <v>28</v>
      </c>
      <c r="B886" s="1" t="str">
        <f>"李彩娥"</f>
        <v>李彩娥</v>
      </c>
      <c r="C886" s="1" t="str">
        <f>"女"</f>
        <v>女</v>
      </c>
      <c r="D886" s="1" t="str">
        <f t="shared" si="106"/>
        <v>汉族</v>
      </c>
      <c r="E886" s="1" t="str">
        <f>"15062183428"</f>
        <v>15062183428</v>
      </c>
      <c r="F886" s="1">
        <v>34</v>
      </c>
      <c r="G886" s="1">
        <v>28</v>
      </c>
      <c r="H886" s="5">
        <v>65</v>
      </c>
      <c r="I886" s="1">
        <v>0</v>
      </c>
      <c r="J886" s="1">
        <f t="shared" si="101"/>
        <v>65</v>
      </c>
    </row>
    <row r="887" spans="1:10">
      <c r="A887" s="1" t="s">
        <v>28</v>
      </c>
      <c r="B887" s="1" t="str">
        <f>"高倩"</f>
        <v>高倩</v>
      </c>
      <c r="C887" s="1" t="str">
        <f>"女"</f>
        <v>女</v>
      </c>
      <c r="D887" s="1" t="str">
        <f t="shared" si="106"/>
        <v>汉族</v>
      </c>
      <c r="E887" s="1" t="str">
        <f>"15062183429"</f>
        <v>15062183429</v>
      </c>
      <c r="F887" s="1">
        <v>34</v>
      </c>
      <c r="G887" s="1">
        <v>29</v>
      </c>
      <c r="H887" s="5">
        <v>53</v>
      </c>
      <c r="I887" s="1">
        <v>0</v>
      </c>
      <c r="J887" s="1">
        <f t="shared" si="101"/>
        <v>53</v>
      </c>
    </row>
    <row r="888" spans="1:10">
      <c r="A888" s="1" t="s">
        <v>28</v>
      </c>
      <c r="B888" s="1" t="str">
        <f>"张丽娟"</f>
        <v>张丽娟</v>
      </c>
      <c r="C888" s="1" t="str">
        <f>"女"</f>
        <v>女</v>
      </c>
      <c r="D888" s="1" t="str">
        <f t="shared" si="106"/>
        <v>汉族</v>
      </c>
      <c r="E888" s="1" t="str">
        <f>"15062183430"</f>
        <v>15062183430</v>
      </c>
      <c r="F888" s="1">
        <v>34</v>
      </c>
      <c r="G888" s="1">
        <v>30</v>
      </c>
      <c r="H888" s="5">
        <v>0</v>
      </c>
      <c r="I888" s="1">
        <v>0</v>
      </c>
      <c r="J888" s="1">
        <f t="shared" si="101"/>
        <v>0</v>
      </c>
    </row>
    <row r="889" spans="1:10">
      <c r="A889" s="1" t="s">
        <v>28</v>
      </c>
      <c r="B889" s="1" t="str">
        <f>"裴铁龙"</f>
        <v>裴铁龙</v>
      </c>
      <c r="C889" s="1" t="str">
        <f>"男"</f>
        <v>男</v>
      </c>
      <c r="D889" s="1" t="str">
        <f t="shared" si="106"/>
        <v>汉族</v>
      </c>
      <c r="E889" s="1" t="str">
        <f>"15062183501"</f>
        <v>15062183501</v>
      </c>
      <c r="F889" s="1">
        <v>35</v>
      </c>
      <c r="G889" s="1">
        <v>1</v>
      </c>
      <c r="H889" s="5">
        <v>57</v>
      </c>
      <c r="I889" s="1">
        <v>0</v>
      </c>
      <c r="J889" s="1">
        <f t="shared" si="101"/>
        <v>57</v>
      </c>
    </row>
    <row r="890" spans="1:10">
      <c r="A890" s="1" t="s">
        <v>28</v>
      </c>
      <c r="B890" s="1" t="str">
        <f>"杨晶"</f>
        <v>杨晶</v>
      </c>
      <c r="C890" s="1" t="str">
        <f>"女"</f>
        <v>女</v>
      </c>
      <c r="D890" s="1" t="str">
        <f t="shared" si="106"/>
        <v>汉族</v>
      </c>
      <c r="E890" s="1" t="str">
        <f>"15062183502"</f>
        <v>15062183502</v>
      </c>
      <c r="F890" s="1">
        <v>35</v>
      </c>
      <c r="G890" s="1">
        <v>2</v>
      </c>
      <c r="H890" s="5">
        <v>59</v>
      </c>
      <c r="I890" s="1">
        <v>0</v>
      </c>
      <c r="J890" s="1">
        <f t="shared" si="101"/>
        <v>59</v>
      </c>
    </row>
    <row r="891" spans="1:10">
      <c r="A891" s="1" t="s">
        <v>28</v>
      </c>
      <c r="B891" s="1" t="str">
        <f>"耿磊"</f>
        <v>耿磊</v>
      </c>
      <c r="C891" s="1" t="str">
        <f>"男"</f>
        <v>男</v>
      </c>
      <c r="D891" s="1" t="str">
        <f>"蒙古族"</f>
        <v>蒙古族</v>
      </c>
      <c r="E891" s="1" t="str">
        <f>"15062183503"</f>
        <v>15062183503</v>
      </c>
      <c r="F891" s="1">
        <v>35</v>
      </c>
      <c r="G891" s="1">
        <v>3</v>
      </c>
      <c r="H891" s="5">
        <v>55</v>
      </c>
      <c r="I891" s="1">
        <v>2.5</v>
      </c>
      <c r="J891" s="1">
        <f t="shared" si="101"/>
        <v>57.5</v>
      </c>
    </row>
    <row r="892" spans="1:10">
      <c r="A892" s="1" t="s">
        <v>28</v>
      </c>
      <c r="B892" s="1" t="str">
        <f>"曹多佳"</f>
        <v>曹多佳</v>
      </c>
      <c r="C892" s="1" t="str">
        <f>"女"</f>
        <v>女</v>
      </c>
      <c r="D892" s="1" t="str">
        <f t="shared" ref="D892:D905" si="107">"汉族"</f>
        <v>汉族</v>
      </c>
      <c r="E892" s="1" t="str">
        <f>"15062183504"</f>
        <v>15062183504</v>
      </c>
      <c r="F892" s="1">
        <v>35</v>
      </c>
      <c r="G892" s="1">
        <v>4</v>
      </c>
      <c r="H892" s="5">
        <v>45</v>
      </c>
      <c r="I892" s="1">
        <v>0</v>
      </c>
      <c r="J892" s="1">
        <f t="shared" si="101"/>
        <v>45</v>
      </c>
    </row>
    <row r="893" spans="1:10">
      <c r="A893" s="1" t="s">
        <v>28</v>
      </c>
      <c r="B893" s="1" t="str">
        <f>"白梦凡"</f>
        <v>白梦凡</v>
      </c>
      <c r="C893" s="1" t="str">
        <f>"女"</f>
        <v>女</v>
      </c>
      <c r="D893" s="1" t="str">
        <f t="shared" si="107"/>
        <v>汉族</v>
      </c>
      <c r="E893" s="1" t="str">
        <f>"15062183505"</f>
        <v>15062183505</v>
      </c>
      <c r="F893" s="1">
        <v>35</v>
      </c>
      <c r="G893" s="1">
        <v>5</v>
      </c>
      <c r="H893" s="5">
        <v>0</v>
      </c>
      <c r="I893" s="1">
        <v>0</v>
      </c>
      <c r="J893" s="1">
        <f t="shared" si="101"/>
        <v>0</v>
      </c>
    </row>
    <row r="894" spans="1:10">
      <c r="A894" s="1" t="s">
        <v>28</v>
      </c>
      <c r="B894" s="1" t="str">
        <f>"杨东升"</f>
        <v>杨东升</v>
      </c>
      <c r="C894" s="1" t="str">
        <f>"男"</f>
        <v>男</v>
      </c>
      <c r="D894" s="1" t="str">
        <f t="shared" si="107"/>
        <v>汉族</v>
      </c>
      <c r="E894" s="1" t="str">
        <f>"15062183506"</f>
        <v>15062183506</v>
      </c>
      <c r="F894" s="1">
        <v>35</v>
      </c>
      <c r="G894" s="1">
        <v>6</v>
      </c>
      <c r="H894" s="5">
        <v>0</v>
      </c>
      <c r="I894" s="1">
        <v>0</v>
      </c>
      <c r="J894" s="1">
        <f t="shared" si="101"/>
        <v>0</v>
      </c>
    </row>
    <row r="895" spans="1:10">
      <c r="A895" s="1" t="s">
        <v>28</v>
      </c>
      <c r="B895" s="1" t="str">
        <f>"杨晓宇"</f>
        <v>杨晓宇</v>
      </c>
      <c r="C895" s="1" t="str">
        <f>"男"</f>
        <v>男</v>
      </c>
      <c r="D895" s="1" t="str">
        <f t="shared" si="107"/>
        <v>汉族</v>
      </c>
      <c r="E895" s="1" t="str">
        <f>"15062183507"</f>
        <v>15062183507</v>
      </c>
      <c r="F895" s="1">
        <v>35</v>
      </c>
      <c r="G895" s="1">
        <v>7</v>
      </c>
      <c r="H895" s="5">
        <v>0</v>
      </c>
      <c r="I895" s="1">
        <v>0</v>
      </c>
      <c r="J895" s="1">
        <f t="shared" si="101"/>
        <v>0</v>
      </c>
    </row>
    <row r="896" spans="1:10">
      <c r="A896" s="1" t="s">
        <v>28</v>
      </c>
      <c r="B896" s="1" t="str">
        <f>"王云鹤"</f>
        <v>王云鹤</v>
      </c>
      <c r="C896" s="1" t="str">
        <f>"男"</f>
        <v>男</v>
      </c>
      <c r="D896" s="1" t="str">
        <f t="shared" si="107"/>
        <v>汉族</v>
      </c>
      <c r="E896" s="1" t="str">
        <f>"15062183508"</f>
        <v>15062183508</v>
      </c>
      <c r="F896" s="1">
        <v>35</v>
      </c>
      <c r="G896" s="1">
        <v>8</v>
      </c>
      <c r="H896" s="5">
        <v>52</v>
      </c>
      <c r="I896" s="1">
        <v>0</v>
      </c>
      <c r="J896" s="1">
        <f t="shared" si="101"/>
        <v>52</v>
      </c>
    </row>
    <row r="897" spans="1:10">
      <c r="A897" s="1" t="s">
        <v>28</v>
      </c>
      <c r="B897" s="1" t="str">
        <f>"刘璐"</f>
        <v>刘璐</v>
      </c>
      <c r="C897" s="1" t="str">
        <f>"女"</f>
        <v>女</v>
      </c>
      <c r="D897" s="1" t="str">
        <f t="shared" si="107"/>
        <v>汉族</v>
      </c>
      <c r="E897" s="1" t="str">
        <f>"15062183509"</f>
        <v>15062183509</v>
      </c>
      <c r="F897" s="1">
        <v>35</v>
      </c>
      <c r="G897" s="1">
        <v>9</v>
      </c>
      <c r="H897" s="5">
        <v>0</v>
      </c>
      <c r="I897" s="1">
        <v>0</v>
      </c>
      <c r="J897" s="1">
        <f t="shared" si="101"/>
        <v>0</v>
      </c>
    </row>
    <row r="898" spans="1:10">
      <c r="A898" s="1" t="s">
        <v>28</v>
      </c>
      <c r="B898" s="1" t="str">
        <f>"王雪琴"</f>
        <v>王雪琴</v>
      </c>
      <c r="C898" s="1" t="str">
        <f>"女"</f>
        <v>女</v>
      </c>
      <c r="D898" s="1" t="str">
        <f t="shared" si="107"/>
        <v>汉族</v>
      </c>
      <c r="E898" s="1" t="str">
        <f>"15062183510"</f>
        <v>15062183510</v>
      </c>
      <c r="F898" s="1">
        <v>35</v>
      </c>
      <c r="G898" s="1">
        <v>10</v>
      </c>
      <c r="H898" s="5">
        <v>60</v>
      </c>
      <c r="I898" s="1">
        <v>0</v>
      </c>
      <c r="J898" s="1">
        <f t="shared" si="101"/>
        <v>60</v>
      </c>
    </row>
    <row r="899" spans="1:10">
      <c r="A899" s="1" t="s">
        <v>28</v>
      </c>
      <c r="B899" s="1" t="str">
        <f>"周龙"</f>
        <v>周龙</v>
      </c>
      <c r="C899" s="1" t="str">
        <f>"男"</f>
        <v>男</v>
      </c>
      <c r="D899" s="1" t="str">
        <f t="shared" si="107"/>
        <v>汉族</v>
      </c>
      <c r="E899" s="1" t="str">
        <f>"15062183511"</f>
        <v>15062183511</v>
      </c>
      <c r="F899" s="1">
        <v>35</v>
      </c>
      <c r="G899" s="1">
        <v>11</v>
      </c>
      <c r="H899" s="5">
        <v>0</v>
      </c>
      <c r="I899" s="1">
        <v>0</v>
      </c>
      <c r="J899" s="1">
        <f t="shared" si="101"/>
        <v>0</v>
      </c>
    </row>
    <row r="900" spans="1:10">
      <c r="A900" s="1" t="s">
        <v>28</v>
      </c>
      <c r="B900" s="1" t="str">
        <f>"刘珍余"</f>
        <v>刘珍余</v>
      </c>
      <c r="C900" s="1" t="str">
        <f>"女"</f>
        <v>女</v>
      </c>
      <c r="D900" s="1" t="str">
        <f t="shared" si="107"/>
        <v>汉族</v>
      </c>
      <c r="E900" s="1" t="str">
        <f>"15062183512"</f>
        <v>15062183512</v>
      </c>
      <c r="F900" s="1">
        <v>35</v>
      </c>
      <c r="G900" s="1">
        <v>12</v>
      </c>
      <c r="H900" s="5">
        <v>0</v>
      </c>
      <c r="I900" s="1">
        <v>0</v>
      </c>
      <c r="J900" s="1">
        <f t="shared" si="101"/>
        <v>0</v>
      </c>
    </row>
    <row r="901" spans="1:10">
      <c r="A901" s="1" t="s">
        <v>28</v>
      </c>
      <c r="B901" s="1" t="str">
        <f>"韩雄"</f>
        <v>韩雄</v>
      </c>
      <c r="C901" s="1" t="str">
        <f>"男"</f>
        <v>男</v>
      </c>
      <c r="D901" s="1" t="str">
        <f t="shared" si="107"/>
        <v>汉族</v>
      </c>
      <c r="E901" s="1" t="str">
        <f>"15062183513"</f>
        <v>15062183513</v>
      </c>
      <c r="F901" s="1">
        <v>35</v>
      </c>
      <c r="G901" s="1">
        <v>13</v>
      </c>
      <c r="H901" s="5">
        <v>51</v>
      </c>
      <c r="I901" s="1">
        <v>0</v>
      </c>
      <c r="J901" s="1">
        <f t="shared" si="101"/>
        <v>51</v>
      </c>
    </row>
    <row r="902" spans="1:10">
      <c r="A902" s="1" t="s">
        <v>28</v>
      </c>
      <c r="B902" s="1" t="str">
        <f>"高彩红"</f>
        <v>高彩红</v>
      </c>
      <c r="C902" s="1" t="str">
        <f>"女"</f>
        <v>女</v>
      </c>
      <c r="D902" s="1" t="str">
        <f t="shared" si="107"/>
        <v>汉族</v>
      </c>
      <c r="E902" s="1" t="str">
        <f>"15062183514"</f>
        <v>15062183514</v>
      </c>
      <c r="F902" s="1">
        <v>35</v>
      </c>
      <c r="G902" s="1">
        <v>14</v>
      </c>
      <c r="H902" s="5">
        <v>55</v>
      </c>
      <c r="I902" s="1">
        <v>0</v>
      </c>
      <c r="J902" s="1">
        <f t="shared" si="101"/>
        <v>55</v>
      </c>
    </row>
    <row r="903" spans="1:10">
      <c r="A903" s="1" t="s">
        <v>28</v>
      </c>
      <c r="B903" s="1" t="str">
        <f>"刘思源"</f>
        <v>刘思源</v>
      </c>
      <c r="C903" s="1" t="str">
        <f>"男"</f>
        <v>男</v>
      </c>
      <c r="D903" s="1" t="str">
        <f t="shared" si="107"/>
        <v>汉族</v>
      </c>
      <c r="E903" s="1" t="str">
        <f>"15062183515"</f>
        <v>15062183515</v>
      </c>
      <c r="F903" s="1">
        <v>35</v>
      </c>
      <c r="G903" s="1">
        <v>15</v>
      </c>
      <c r="H903" s="5">
        <v>60</v>
      </c>
      <c r="I903" s="1">
        <v>0</v>
      </c>
      <c r="J903" s="1">
        <f t="shared" si="101"/>
        <v>60</v>
      </c>
    </row>
    <row r="904" spans="1:10">
      <c r="A904" s="1" t="s">
        <v>28</v>
      </c>
      <c r="B904" s="1" t="str">
        <f>"王国庆"</f>
        <v>王国庆</v>
      </c>
      <c r="C904" s="1" t="str">
        <f>"男"</f>
        <v>男</v>
      </c>
      <c r="D904" s="1" t="str">
        <f t="shared" si="107"/>
        <v>汉族</v>
      </c>
      <c r="E904" s="1" t="str">
        <f>"15062183516"</f>
        <v>15062183516</v>
      </c>
      <c r="F904" s="1">
        <v>35</v>
      </c>
      <c r="G904" s="1">
        <v>16</v>
      </c>
      <c r="H904" s="5">
        <v>55</v>
      </c>
      <c r="I904" s="1">
        <v>0</v>
      </c>
      <c r="J904" s="1">
        <f t="shared" si="101"/>
        <v>55</v>
      </c>
    </row>
    <row r="905" spans="1:10">
      <c r="A905" s="1" t="s">
        <v>28</v>
      </c>
      <c r="B905" s="1" t="str">
        <f>"韩春"</f>
        <v>韩春</v>
      </c>
      <c r="C905" s="1" t="str">
        <f t="shared" ref="C905:C910" si="108">"女"</f>
        <v>女</v>
      </c>
      <c r="D905" s="1" t="str">
        <f t="shared" si="107"/>
        <v>汉族</v>
      </c>
      <c r="E905" s="1" t="str">
        <f>"15062183517"</f>
        <v>15062183517</v>
      </c>
      <c r="F905" s="1">
        <v>35</v>
      </c>
      <c r="G905" s="1">
        <v>17</v>
      </c>
      <c r="H905" s="5">
        <v>45</v>
      </c>
      <c r="I905" s="1">
        <v>0</v>
      </c>
      <c r="J905" s="1">
        <f t="shared" si="101"/>
        <v>45</v>
      </c>
    </row>
    <row r="906" spans="1:10">
      <c r="A906" s="1" t="s">
        <v>29</v>
      </c>
      <c r="B906" s="1" t="str">
        <f>"海日"</f>
        <v>海日</v>
      </c>
      <c r="C906" s="1" t="str">
        <f t="shared" si="108"/>
        <v>女</v>
      </c>
      <c r="D906" s="1" t="str">
        <f t="shared" ref="D906:D923" si="109">"蒙古族"</f>
        <v>蒙古族</v>
      </c>
      <c r="E906" s="1" t="str">
        <f>"15062193518"</f>
        <v>15062193518</v>
      </c>
      <c r="F906" s="1">
        <v>35</v>
      </c>
      <c r="G906" s="1">
        <v>18</v>
      </c>
      <c r="H906" s="5">
        <v>44</v>
      </c>
      <c r="I906" s="1">
        <v>2.5</v>
      </c>
      <c r="J906" s="1">
        <f t="shared" si="101"/>
        <v>46.5</v>
      </c>
    </row>
    <row r="907" spans="1:10">
      <c r="A907" s="1" t="s">
        <v>29</v>
      </c>
      <c r="B907" s="1" t="str">
        <f>"阿拉腾其木格"</f>
        <v>阿拉腾其木格</v>
      </c>
      <c r="C907" s="1" t="str">
        <f t="shared" si="108"/>
        <v>女</v>
      </c>
      <c r="D907" s="1" t="str">
        <f t="shared" si="109"/>
        <v>蒙古族</v>
      </c>
      <c r="E907" s="1" t="str">
        <f>"15062193519"</f>
        <v>15062193519</v>
      </c>
      <c r="F907" s="1">
        <v>35</v>
      </c>
      <c r="G907" s="1">
        <v>19</v>
      </c>
      <c r="H907" s="5">
        <v>44</v>
      </c>
      <c r="I907" s="1">
        <v>2.5</v>
      </c>
      <c r="J907" s="1">
        <f t="shared" si="101"/>
        <v>46.5</v>
      </c>
    </row>
    <row r="908" spans="1:10">
      <c r="A908" s="1" t="s">
        <v>29</v>
      </c>
      <c r="B908" s="1" t="str">
        <f>"阿迪娜"</f>
        <v>阿迪娜</v>
      </c>
      <c r="C908" s="1" t="str">
        <f t="shared" si="108"/>
        <v>女</v>
      </c>
      <c r="D908" s="1" t="str">
        <f t="shared" si="109"/>
        <v>蒙古族</v>
      </c>
      <c r="E908" s="1" t="str">
        <f>"15062193520"</f>
        <v>15062193520</v>
      </c>
      <c r="F908" s="1">
        <v>35</v>
      </c>
      <c r="G908" s="1">
        <v>20</v>
      </c>
      <c r="H908" s="5">
        <v>46</v>
      </c>
      <c r="I908" s="1">
        <v>2.5</v>
      </c>
      <c r="J908" s="1">
        <f t="shared" si="101"/>
        <v>48.5</v>
      </c>
    </row>
    <row r="909" spans="1:10">
      <c r="A909" s="1" t="s">
        <v>29</v>
      </c>
      <c r="B909" s="1" t="str">
        <f>"布音额尼尔乐"</f>
        <v>布音额尼尔乐</v>
      </c>
      <c r="C909" s="1" t="str">
        <f t="shared" si="108"/>
        <v>女</v>
      </c>
      <c r="D909" s="1" t="str">
        <f t="shared" si="109"/>
        <v>蒙古族</v>
      </c>
      <c r="E909" s="1" t="str">
        <f>"15062193521"</f>
        <v>15062193521</v>
      </c>
      <c r="F909" s="1">
        <v>35</v>
      </c>
      <c r="G909" s="1">
        <v>21</v>
      </c>
      <c r="H909" s="5">
        <v>45</v>
      </c>
      <c r="I909" s="1">
        <v>2.5</v>
      </c>
      <c r="J909" s="1">
        <f t="shared" si="101"/>
        <v>47.5</v>
      </c>
    </row>
    <row r="910" spans="1:10">
      <c r="A910" s="1" t="s">
        <v>29</v>
      </c>
      <c r="B910" s="1" t="str">
        <f>"其格乐"</f>
        <v>其格乐</v>
      </c>
      <c r="C910" s="1" t="str">
        <f t="shared" si="108"/>
        <v>女</v>
      </c>
      <c r="D910" s="1" t="str">
        <f t="shared" si="109"/>
        <v>蒙古族</v>
      </c>
      <c r="E910" s="1" t="str">
        <f>"15062193522"</f>
        <v>15062193522</v>
      </c>
      <c r="F910" s="1">
        <v>35</v>
      </c>
      <c r="G910" s="1">
        <v>22</v>
      </c>
      <c r="H910" s="5">
        <v>0</v>
      </c>
      <c r="I910" s="1">
        <v>0</v>
      </c>
      <c r="J910" s="1">
        <f t="shared" si="101"/>
        <v>0</v>
      </c>
    </row>
    <row r="911" spans="1:10">
      <c r="A911" s="1" t="s">
        <v>29</v>
      </c>
      <c r="B911" s="1" t="str">
        <f>"白海日"</f>
        <v>白海日</v>
      </c>
      <c r="C911" s="1" t="str">
        <f>"男"</f>
        <v>男</v>
      </c>
      <c r="D911" s="1" t="str">
        <f t="shared" si="109"/>
        <v>蒙古族</v>
      </c>
      <c r="E911" s="1" t="str">
        <f>"15062193523"</f>
        <v>15062193523</v>
      </c>
      <c r="F911" s="1">
        <v>35</v>
      </c>
      <c r="G911" s="1">
        <v>23</v>
      </c>
      <c r="H911" s="5">
        <v>60</v>
      </c>
      <c r="I911" s="1">
        <v>2.5</v>
      </c>
      <c r="J911" s="1">
        <f t="shared" si="101"/>
        <v>62.5</v>
      </c>
    </row>
    <row r="912" spans="1:10">
      <c r="A912" s="1" t="s">
        <v>29</v>
      </c>
      <c r="B912" s="1" t="str">
        <f>"苏日古格"</f>
        <v>苏日古格</v>
      </c>
      <c r="C912" s="1" t="str">
        <f>"女"</f>
        <v>女</v>
      </c>
      <c r="D912" s="1" t="str">
        <f t="shared" si="109"/>
        <v>蒙古族</v>
      </c>
      <c r="E912" s="1" t="str">
        <f>"15062193524"</f>
        <v>15062193524</v>
      </c>
      <c r="F912" s="1">
        <v>35</v>
      </c>
      <c r="G912" s="1">
        <v>24</v>
      </c>
      <c r="H912" s="5">
        <v>52</v>
      </c>
      <c r="I912" s="1">
        <v>2.5</v>
      </c>
      <c r="J912" s="1">
        <f t="shared" si="101"/>
        <v>54.5</v>
      </c>
    </row>
    <row r="913" spans="1:10">
      <c r="A913" s="1" t="s">
        <v>29</v>
      </c>
      <c r="B913" s="1" t="str">
        <f>"哈斯格日乐"</f>
        <v>哈斯格日乐</v>
      </c>
      <c r="C913" s="1" t="str">
        <f>"女"</f>
        <v>女</v>
      </c>
      <c r="D913" s="1" t="str">
        <f t="shared" si="109"/>
        <v>蒙古族</v>
      </c>
      <c r="E913" s="1" t="str">
        <f>"15062193525"</f>
        <v>15062193525</v>
      </c>
      <c r="F913" s="1">
        <v>35</v>
      </c>
      <c r="G913" s="1">
        <v>25</v>
      </c>
      <c r="H913" s="5">
        <v>42</v>
      </c>
      <c r="I913" s="1">
        <v>2.5</v>
      </c>
      <c r="J913" s="1">
        <f t="shared" si="101"/>
        <v>44.5</v>
      </c>
    </row>
    <row r="914" spans="1:10">
      <c r="A914" s="1" t="s">
        <v>29</v>
      </c>
      <c r="B914" s="1" t="str">
        <f>"奇乐木格"</f>
        <v>奇乐木格</v>
      </c>
      <c r="C914" s="1" t="str">
        <f>"男"</f>
        <v>男</v>
      </c>
      <c r="D914" s="1" t="str">
        <f t="shared" si="109"/>
        <v>蒙古族</v>
      </c>
      <c r="E914" s="1" t="str">
        <f>"15062193526"</f>
        <v>15062193526</v>
      </c>
      <c r="F914" s="1">
        <v>35</v>
      </c>
      <c r="G914" s="1">
        <v>26</v>
      </c>
      <c r="H914" s="5">
        <v>41</v>
      </c>
      <c r="I914" s="1">
        <v>2.5</v>
      </c>
      <c r="J914" s="1">
        <f t="shared" si="101"/>
        <v>43.5</v>
      </c>
    </row>
    <row r="915" spans="1:10">
      <c r="A915" s="1" t="s">
        <v>29</v>
      </c>
      <c r="B915" s="1" t="str">
        <f>"塔霓"</f>
        <v>塔霓</v>
      </c>
      <c r="C915" s="1" t="str">
        <f>"女"</f>
        <v>女</v>
      </c>
      <c r="D915" s="1" t="str">
        <f t="shared" si="109"/>
        <v>蒙古族</v>
      </c>
      <c r="E915" s="1" t="str">
        <f>"15062193527"</f>
        <v>15062193527</v>
      </c>
      <c r="F915" s="1">
        <v>35</v>
      </c>
      <c r="G915" s="1">
        <v>27</v>
      </c>
      <c r="H915" s="5">
        <v>0</v>
      </c>
      <c r="I915" s="1">
        <v>0</v>
      </c>
      <c r="J915" s="1">
        <f t="shared" si="101"/>
        <v>0</v>
      </c>
    </row>
    <row r="916" spans="1:10">
      <c r="A916" s="1" t="s">
        <v>29</v>
      </c>
      <c r="B916" s="1" t="str">
        <f>"苏日娜"</f>
        <v>苏日娜</v>
      </c>
      <c r="C916" s="1" t="str">
        <f>"女"</f>
        <v>女</v>
      </c>
      <c r="D916" s="1" t="str">
        <f t="shared" si="109"/>
        <v>蒙古族</v>
      </c>
      <c r="E916" s="1" t="str">
        <f>"15062193528"</f>
        <v>15062193528</v>
      </c>
      <c r="F916" s="1">
        <v>35</v>
      </c>
      <c r="G916" s="1">
        <v>28</v>
      </c>
      <c r="H916" s="5">
        <v>51</v>
      </c>
      <c r="I916" s="1">
        <v>2.5</v>
      </c>
      <c r="J916" s="1">
        <f t="shared" si="101"/>
        <v>53.5</v>
      </c>
    </row>
    <row r="917" spans="1:10">
      <c r="A917" s="1" t="s">
        <v>29</v>
      </c>
      <c r="B917" s="1" t="str">
        <f>"满都拉"</f>
        <v>满都拉</v>
      </c>
      <c r="C917" s="1" t="str">
        <f>"女"</f>
        <v>女</v>
      </c>
      <c r="D917" s="1" t="str">
        <f t="shared" si="109"/>
        <v>蒙古族</v>
      </c>
      <c r="E917" s="1" t="str">
        <f>"15062193529"</f>
        <v>15062193529</v>
      </c>
      <c r="F917" s="1">
        <v>35</v>
      </c>
      <c r="G917" s="1">
        <v>29</v>
      </c>
      <c r="H917" s="5">
        <v>52</v>
      </c>
      <c r="I917" s="1">
        <v>2.5</v>
      </c>
      <c r="J917" s="1">
        <f t="shared" si="101"/>
        <v>54.5</v>
      </c>
    </row>
    <row r="918" spans="1:10">
      <c r="A918" s="1" t="s">
        <v>29</v>
      </c>
      <c r="B918" s="1" t="str">
        <f>"南丁"</f>
        <v>南丁</v>
      </c>
      <c r="C918" s="1" t="str">
        <f>"女"</f>
        <v>女</v>
      </c>
      <c r="D918" s="1" t="str">
        <f t="shared" si="109"/>
        <v>蒙古族</v>
      </c>
      <c r="E918" s="1" t="str">
        <f>"15062193530"</f>
        <v>15062193530</v>
      </c>
      <c r="F918" s="1">
        <v>35</v>
      </c>
      <c r="G918" s="1">
        <v>30</v>
      </c>
      <c r="H918" s="5">
        <v>57</v>
      </c>
      <c r="I918" s="1">
        <v>2.5</v>
      </c>
      <c r="J918" s="1">
        <f t="shared" si="101"/>
        <v>59.5</v>
      </c>
    </row>
    <row r="919" spans="1:10">
      <c r="A919" s="1" t="s">
        <v>29</v>
      </c>
      <c r="B919" s="1" t="str">
        <f>"齐叶玲"</f>
        <v>齐叶玲</v>
      </c>
      <c r="C919" s="1" t="str">
        <f>"女"</f>
        <v>女</v>
      </c>
      <c r="D919" s="1" t="str">
        <f t="shared" si="109"/>
        <v>蒙古族</v>
      </c>
      <c r="E919" s="1" t="str">
        <f>"15062193601"</f>
        <v>15062193601</v>
      </c>
      <c r="F919" s="1">
        <v>36</v>
      </c>
      <c r="G919" s="1">
        <v>1</v>
      </c>
      <c r="H919" s="5">
        <v>47</v>
      </c>
      <c r="I919" s="1">
        <v>2.5</v>
      </c>
      <c r="J919" s="1">
        <f t="shared" si="101"/>
        <v>49.5</v>
      </c>
    </row>
    <row r="920" spans="1:10">
      <c r="A920" s="1" t="s">
        <v>29</v>
      </c>
      <c r="B920" s="1" t="str">
        <f>"哈达"</f>
        <v>哈达</v>
      </c>
      <c r="C920" s="1" t="str">
        <f>"男"</f>
        <v>男</v>
      </c>
      <c r="D920" s="1" t="str">
        <f t="shared" si="109"/>
        <v>蒙古族</v>
      </c>
      <c r="E920" s="1" t="str">
        <f>"15062193602"</f>
        <v>15062193602</v>
      </c>
      <c r="F920" s="1">
        <v>36</v>
      </c>
      <c r="G920" s="1">
        <v>2</v>
      </c>
      <c r="H920" s="5">
        <v>57</v>
      </c>
      <c r="I920" s="1">
        <v>2.5</v>
      </c>
      <c r="J920" s="1">
        <f t="shared" si="101"/>
        <v>59.5</v>
      </c>
    </row>
    <row r="921" spans="1:10">
      <c r="A921" s="1" t="s">
        <v>29</v>
      </c>
      <c r="B921" s="1" t="str">
        <f>"索伦嘎"</f>
        <v>索伦嘎</v>
      </c>
      <c r="C921" s="1" t="str">
        <f>"女"</f>
        <v>女</v>
      </c>
      <c r="D921" s="1" t="str">
        <f t="shared" si="109"/>
        <v>蒙古族</v>
      </c>
      <c r="E921" s="1" t="str">
        <f>"15062193603"</f>
        <v>15062193603</v>
      </c>
      <c r="F921" s="1">
        <v>36</v>
      </c>
      <c r="G921" s="1">
        <v>3</v>
      </c>
      <c r="H921" s="5">
        <v>44</v>
      </c>
      <c r="I921" s="1">
        <v>2.5</v>
      </c>
      <c r="J921" s="1">
        <f t="shared" ref="J921:J963" si="110">H921+I921</f>
        <v>46.5</v>
      </c>
    </row>
    <row r="922" spans="1:10">
      <c r="A922" s="1" t="s">
        <v>30</v>
      </c>
      <c r="B922" s="1" t="str">
        <f>"杨柳"</f>
        <v>杨柳</v>
      </c>
      <c r="C922" s="1" t="str">
        <f>"女"</f>
        <v>女</v>
      </c>
      <c r="D922" s="1" t="str">
        <f t="shared" si="109"/>
        <v>蒙古族</v>
      </c>
      <c r="E922" s="1" t="str">
        <f>"15062203604"</f>
        <v>15062203604</v>
      </c>
      <c r="F922" s="1">
        <v>36</v>
      </c>
      <c r="G922" s="1">
        <v>4</v>
      </c>
      <c r="H922" s="5">
        <v>59</v>
      </c>
      <c r="I922" s="1">
        <v>2.5</v>
      </c>
      <c r="J922" s="1">
        <f t="shared" si="110"/>
        <v>61.5</v>
      </c>
    </row>
    <row r="923" spans="1:10">
      <c r="A923" s="1" t="s">
        <v>30</v>
      </c>
      <c r="B923" s="1" t="str">
        <f>"牧琪日"</f>
        <v>牧琪日</v>
      </c>
      <c r="C923" s="1" t="str">
        <f>"女"</f>
        <v>女</v>
      </c>
      <c r="D923" s="1" t="str">
        <f t="shared" si="109"/>
        <v>蒙古族</v>
      </c>
      <c r="E923" s="1" t="str">
        <f>"15062203605"</f>
        <v>15062203605</v>
      </c>
      <c r="F923" s="1">
        <v>36</v>
      </c>
      <c r="G923" s="1">
        <v>5</v>
      </c>
      <c r="H923" s="5">
        <v>50</v>
      </c>
      <c r="I923" s="1">
        <v>2.5</v>
      </c>
      <c r="J923" s="1">
        <f t="shared" si="110"/>
        <v>52.5</v>
      </c>
    </row>
    <row r="924" spans="1:10">
      <c r="A924" s="1" t="s">
        <v>30</v>
      </c>
      <c r="B924" s="1" t="str">
        <f>"杨彦博"</f>
        <v>杨彦博</v>
      </c>
      <c r="C924" s="1" t="str">
        <f>"女"</f>
        <v>女</v>
      </c>
      <c r="D924" s="1" t="str">
        <f>"汉族"</f>
        <v>汉族</v>
      </c>
      <c r="E924" s="1" t="str">
        <f>"15062203606"</f>
        <v>15062203606</v>
      </c>
      <c r="F924" s="1">
        <v>36</v>
      </c>
      <c r="G924" s="1">
        <v>6</v>
      </c>
      <c r="H924" s="5">
        <v>57</v>
      </c>
      <c r="I924" s="1">
        <v>0</v>
      </c>
      <c r="J924" s="1">
        <f t="shared" si="110"/>
        <v>57</v>
      </c>
    </row>
    <row r="925" spans="1:10">
      <c r="A925" s="1" t="s">
        <v>30</v>
      </c>
      <c r="B925" s="1" t="str">
        <f>"阿拉腾图雅"</f>
        <v>阿拉腾图雅</v>
      </c>
      <c r="C925" s="1" t="str">
        <f>"女"</f>
        <v>女</v>
      </c>
      <c r="D925" s="1" t="str">
        <f>"蒙古族"</f>
        <v>蒙古族</v>
      </c>
      <c r="E925" s="1" t="str">
        <f>"15062203607"</f>
        <v>15062203607</v>
      </c>
      <c r="F925" s="1">
        <v>36</v>
      </c>
      <c r="G925" s="1">
        <v>7</v>
      </c>
      <c r="H925" s="5">
        <v>37</v>
      </c>
      <c r="I925" s="1">
        <v>2.5</v>
      </c>
      <c r="J925" s="1">
        <f t="shared" si="110"/>
        <v>39.5</v>
      </c>
    </row>
    <row r="926" spans="1:10">
      <c r="A926" s="1" t="s">
        <v>30</v>
      </c>
      <c r="B926" s="1" t="str">
        <f>"伊如格乐"</f>
        <v>伊如格乐</v>
      </c>
      <c r="C926" s="1" t="str">
        <f>"男"</f>
        <v>男</v>
      </c>
      <c r="D926" s="1" t="str">
        <f>"蒙古族"</f>
        <v>蒙古族</v>
      </c>
      <c r="E926" s="1" t="str">
        <f>"15062203608"</f>
        <v>15062203608</v>
      </c>
      <c r="F926" s="1">
        <v>36</v>
      </c>
      <c r="G926" s="1">
        <v>8</v>
      </c>
      <c r="H926" s="5">
        <v>45</v>
      </c>
      <c r="I926" s="1">
        <v>2.5</v>
      </c>
      <c r="J926" s="1">
        <f t="shared" si="110"/>
        <v>47.5</v>
      </c>
    </row>
    <row r="927" spans="1:10">
      <c r="A927" s="1" t="s">
        <v>30</v>
      </c>
      <c r="B927" s="1" t="str">
        <f>"张蕾"</f>
        <v>张蕾</v>
      </c>
      <c r="C927" s="1" t="str">
        <f t="shared" ref="C927:C933" si="111">"女"</f>
        <v>女</v>
      </c>
      <c r="D927" s="1" t="str">
        <f>"汉族"</f>
        <v>汉族</v>
      </c>
      <c r="E927" s="1" t="str">
        <f>"15062203609"</f>
        <v>15062203609</v>
      </c>
      <c r="F927" s="1">
        <v>36</v>
      </c>
      <c r="G927" s="1">
        <v>9</v>
      </c>
      <c r="H927" s="5">
        <v>0</v>
      </c>
      <c r="I927" s="1">
        <v>0</v>
      </c>
      <c r="J927" s="1">
        <f t="shared" si="110"/>
        <v>0</v>
      </c>
    </row>
    <row r="928" spans="1:10">
      <c r="A928" s="1" t="s">
        <v>30</v>
      </c>
      <c r="B928" s="1" t="str">
        <f>"边丽娟"</f>
        <v>边丽娟</v>
      </c>
      <c r="C928" s="1" t="str">
        <f t="shared" si="111"/>
        <v>女</v>
      </c>
      <c r="D928" s="1" t="str">
        <f>"汉族"</f>
        <v>汉族</v>
      </c>
      <c r="E928" s="1" t="str">
        <f>"15062203610"</f>
        <v>15062203610</v>
      </c>
      <c r="F928" s="1">
        <v>36</v>
      </c>
      <c r="G928" s="1">
        <v>10</v>
      </c>
      <c r="H928" s="5">
        <v>48</v>
      </c>
      <c r="I928" s="1">
        <v>0</v>
      </c>
      <c r="J928" s="1">
        <f t="shared" si="110"/>
        <v>48</v>
      </c>
    </row>
    <row r="929" spans="1:10">
      <c r="A929" s="1" t="s">
        <v>30</v>
      </c>
      <c r="B929" s="1" t="str">
        <f>"何金丽"</f>
        <v>何金丽</v>
      </c>
      <c r="C929" s="1" t="str">
        <f t="shared" si="111"/>
        <v>女</v>
      </c>
      <c r="D929" s="1" t="str">
        <f>"汉族"</f>
        <v>汉族</v>
      </c>
      <c r="E929" s="1" t="str">
        <f>"15062203611"</f>
        <v>15062203611</v>
      </c>
      <c r="F929" s="1">
        <v>36</v>
      </c>
      <c r="G929" s="1">
        <v>11</v>
      </c>
      <c r="H929" s="5">
        <v>35</v>
      </c>
      <c r="I929" s="1">
        <v>0</v>
      </c>
      <c r="J929" s="1">
        <f t="shared" si="110"/>
        <v>35</v>
      </c>
    </row>
    <row r="930" spans="1:10">
      <c r="A930" s="1" t="s">
        <v>30</v>
      </c>
      <c r="B930" s="1" t="str">
        <f>"苏龙嘎"</f>
        <v>苏龙嘎</v>
      </c>
      <c r="C930" s="1" t="str">
        <f t="shared" si="111"/>
        <v>女</v>
      </c>
      <c r="D930" s="1" t="str">
        <f>"蒙古族"</f>
        <v>蒙古族</v>
      </c>
      <c r="E930" s="1" t="str">
        <f>"15062203612"</f>
        <v>15062203612</v>
      </c>
      <c r="F930" s="1">
        <v>36</v>
      </c>
      <c r="G930" s="1">
        <v>12</v>
      </c>
      <c r="H930" s="5">
        <v>0</v>
      </c>
      <c r="I930" s="1">
        <v>0</v>
      </c>
      <c r="J930" s="1">
        <f t="shared" si="110"/>
        <v>0</v>
      </c>
    </row>
    <row r="931" spans="1:10">
      <c r="A931" s="1" t="s">
        <v>30</v>
      </c>
      <c r="B931" s="1" t="str">
        <f>"桂乐苏"</f>
        <v>桂乐苏</v>
      </c>
      <c r="C931" s="1" t="str">
        <f t="shared" si="111"/>
        <v>女</v>
      </c>
      <c r="D931" s="1" t="str">
        <f>"蒙古族"</f>
        <v>蒙古族</v>
      </c>
      <c r="E931" s="1" t="str">
        <f>"15062203613"</f>
        <v>15062203613</v>
      </c>
      <c r="F931" s="1">
        <v>36</v>
      </c>
      <c r="G931" s="1">
        <v>13</v>
      </c>
      <c r="H931" s="5">
        <v>63</v>
      </c>
      <c r="I931" s="1">
        <v>2.5</v>
      </c>
      <c r="J931" s="1">
        <f t="shared" si="110"/>
        <v>65.5</v>
      </c>
    </row>
    <row r="932" spans="1:10">
      <c r="A932" s="1" t="s">
        <v>30</v>
      </c>
      <c r="B932" s="1" t="str">
        <f>"李海燕"</f>
        <v>李海燕</v>
      </c>
      <c r="C932" s="1" t="str">
        <f t="shared" si="111"/>
        <v>女</v>
      </c>
      <c r="D932" s="1" t="str">
        <f>"汉族"</f>
        <v>汉族</v>
      </c>
      <c r="E932" s="1" t="str">
        <f>"15062203614"</f>
        <v>15062203614</v>
      </c>
      <c r="F932" s="1">
        <v>36</v>
      </c>
      <c r="G932" s="1">
        <v>14</v>
      </c>
      <c r="H932" s="5">
        <v>0</v>
      </c>
      <c r="I932" s="1">
        <v>0</v>
      </c>
      <c r="J932" s="1">
        <f t="shared" si="110"/>
        <v>0</v>
      </c>
    </row>
    <row r="933" spans="1:10">
      <c r="A933" s="1" t="s">
        <v>30</v>
      </c>
      <c r="B933" s="1" t="str">
        <f>"王瑞"</f>
        <v>王瑞</v>
      </c>
      <c r="C933" s="1" t="str">
        <f t="shared" si="111"/>
        <v>女</v>
      </c>
      <c r="D933" s="1" t="str">
        <f>"汉族"</f>
        <v>汉族</v>
      </c>
      <c r="E933" s="1" t="str">
        <f>"15062203615"</f>
        <v>15062203615</v>
      </c>
      <c r="F933" s="1">
        <v>36</v>
      </c>
      <c r="G933" s="1">
        <v>15</v>
      </c>
      <c r="H933" s="5">
        <v>60</v>
      </c>
      <c r="I933" s="1">
        <v>0</v>
      </c>
      <c r="J933" s="1">
        <f t="shared" si="110"/>
        <v>60</v>
      </c>
    </row>
    <row r="934" spans="1:10">
      <c r="A934" s="1" t="s">
        <v>30</v>
      </c>
      <c r="B934" s="1" t="str">
        <f>"杨虎"</f>
        <v>杨虎</v>
      </c>
      <c r="C934" s="1" t="str">
        <f>"男"</f>
        <v>男</v>
      </c>
      <c r="D934" s="1" t="str">
        <f>"汉族"</f>
        <v>汉族</v>
      </c>
      <c r="E934" s="1" t="str">
        <f>"15062203616"</f>
        <v>15062203616</v>
      </c>
      <c r="F934" s="1">
        <v>36</v>
      </c>
      <c r="G934" s="1">
        <v>16</v>
      </c>
      <c r="H934" s="5">
        <v>42</v>
      </c>
      <c r="I934" s="1">
        <v>0</v>
      </c>
      <c r="J934" s="1">
        <f t="shared" si="110"/>
        <v>42</v>
      </c>
    </row>
    <row r="935" spans="1:10">
      <c r="A935" s="1" t="s">
        <v>30</v>
      </c>
      <c r="B935" s="1" t="str">
        <f>"娜木贡"</f>
        <v>娜木贡</v>
      </c>
      <c r="C935" s="1" t="str">
        <f>"女"</f>
        <v>女</v>
      </c>
      <c r="D935" s="1" t="str">
        <f t="shared" ref="D935:D945" si="112">"蒙古族"</f>
        <v>蒙古族</v>
      </c>
      <c r="E935" s="1" t="str">
        <f>"15062203617"</f>
        <v>15062203617</v>
      </c>
      <c r="F935" s="1">
        <v>36</v>
      </c>
      <c r="G935" s="1">
        <v>17</v>
      </c>
      <c r="H935" s="5">
        <v>0</v>
      </c>
      <c r="I935" s="1">
        <v>0</v>
      </c>
      <c r="J935" s="1">
        <f t="shared" si="110"/>
        <v>0</v>
      </c>
    </row>
    <row r="936" spans="1:10">
      <c r="A936" s="1" t="s">
        <v>31</v>
      </c>
      <c r="B936" s="1" t="str">
        <f>"王海英"</f>
        <v>王海英</v>
      </c>
      <c r="C936" s="1" t="str">
        <f>"男"</f>
        <v>男</v>
      </c>
      <c r="D936" s="1" t="str">
        <f t="shared" si="112"/>
        <v>蒙古族</v>
      </c>
      <c r="E936" s="1" t="str">
        <f>"15062211801"</f>
        <v>15062211801</v>
      </c>
      <c r="F936" s="1">
        <v>18</v>
      </c>
      <c r="G936" s="1">
        <v>1</v>
      </c>
      <c r="H936" s="5">
        <v>0</v>
      </c>
      <c r="I936" s="1">
        <v>0</v>
      </c>
      <c r="J936" s="1">
        <f t="shared" si="110"/>
        <v>0</v>
      </c>
    </row>
    <row r="937" spans="1:10">
      <c r="A937" s="1" t="s">
        <v>31</v>
      </c>
      <c r="B937" s="1" t="str">
        <f>"那庆"</f>
        <v>那庆</v>
      </c>
      <c r="C937" s="1" t="str">
        <f>"女"</f>
        <v>女</v>
      </c>
      <c r="D937" s="1" t="str">
        <f t="shared" si="112"/>
        <v>蒙古族</v>
      </c>
      <c r="E937" s="1" t="str">
        <f>"15062211802"</f>
        <v>15062211802</v>
      </c>
      <c r="F937" s="1">
        <v>18</v>
      </c>
      <c r="G937" s="1">
        <v>2</v>
      </c>
      <c r="H937" s="5">
        <v>37</v>
      </c>
      <c r="I937" s="1">
        <v>2.5</v>
      </c>
      <c r="J937" s="1">
        <f t="shared" si="110"/>
        <v>39.5</v>
      </c>
    </row>
    <row r="938" spans="1:10">
      <c r="A938" s="1" t="s">
        <v>31</v>
      </c>
      <c r="B938" s="1" t="str">
        <f>"温都娜"</f>
        <v>温都娜</v>
      </c>
      <c r="C938" s="1" t="str">
        <f>"女"</f>
        <v>女</v>
      </c>
      <c r="D938" s="1" t="str">
        <f t="shared" si="112"/>
        <v>蒙古族</v>
      </c>
      <c r="E938" s="1" t="str">
        <f>"15062211803"</f>
        <v>15062211803</v>
      </c>
      <c r="F938" s="1">
        <v>18</v>
      </c>
      <c r="G938" s="1">
        <v>3</v>
      </c>
      <c r="H938" s="5">
        <v>39</v>
      </c>
      <c r="I938" s="1">
        <v>2.5</v>
      </c>
      <c r="J938" s="1">
        <f t="shared" si="110"/>
        <v>41.5</v>
      </c>
    </row>
    <row r="939" spans="1:10">
      <c r="A939" s="1" t="s">
        <v>31</v>
      </c>
      <c r="B939" s="1" t="str">
        <f>"格希格图"</f>
        <v>格希格图</v>
      </c>
      <c r="C939" s="1" t="str">
        <f>"男"</f>
        <v>男</v>
      </c>
      <c r="D939" s="1" t="str">
        <f t="shared" si="112"/>
        <v>蒙古族</v>
      </c>
      <c r="E939" s="1" t="str">
        <f>"15062211804"</f>
        <v>15062211804</v>
      </c>
      <c r="F939" s="1">
        <v>18</v>
      </c>
      <c r="G939" s="1">
        <v>4</v>
      </c>
      <c r="H939" s="5">
        <v>38</v>
      </c>
      <c r="I939" s="1">
        <v>2.5</v>
      </c>
      <c r="J939" s="1">
        <f t="shared" si="110"/>
        <v>40.5</v>
      </c>
    </row>
    <row r="940" spans="1:10">
      <c r="A940" s="1" t="s">
        <v>31</v>
      </c>
      <c r="B940" s="1" t="str">
        <f>"阿拉腾图娜拉"</f>
        <v>阿拉腾图娜拉</v>
      </c>
      <c r="C940" s="1" t="str">
        <f>"女"</f>
        <v>女</v>
      </c>
      <c r="D940" s="1" t="str">
        <f t="shared" si="112"/>
        <v>蒙古族</v>
      </c>
      <c r="E940" s="1" t="str">
        <f>"15062211805"</f>
        <v>15062211805</v>
      </c>
      <c r="F940" s="1">
        <v>18</v>
      </c>
      <c r="G940" s="1">
        <v>5</v>
      </c>
      <c r="H940" s="5">
        <v>35</v>
      </c>
      <c r="I940" s="1">
        <v>2.5</v>
      </c>
      <c r="J940" s="1">
        <f t="shared" si="110"/>
        <v>37.5</v>
      </c>
    </row>
    <row r="941" spans="1:10">
      <c r="A941" s="1" t="s">
        <v>31</v>
      </c>
      <c r="B941" s="1" t="str">
        <f>"朱娜"</f>
        <v>朱娜</v>
      </c>
      <c r="C941" s="1" t="str">
        <f>"女"</f>
        <v>女</v>
      </c>
      <c r="D941" s="1" t="str">
        <f t="shared" si="112"/>
        <v>蒙古族</v>
      </c>
      <c r="E941" s="1" t="str">
        <f>"15062211806"</f>
        <v>15062211806</v>
      </c>
      <c r="F941" s="1">
        <v>18</v>
      </c>
      <c r="G941" s="1">
        <v>6</v>
      </c>
      <c r="H941" s="5">
        <v>29</v>
      </c>
      <c r="I941" s="1">
        <v>2.5</v>
      </c>
      <c r="J941" s="1">
        <f t="shared" si="110"/>
        <v>31.5</v>
      </c>
    </row>
    <row r="942" spans="1:10">
      <c r="A942" s="1" t="s">
        <v>31</v>
      </c>
      <c r="B942" s="1" t="str">
        <f>"桔莉娜"</f>
        <v>桔莉娜</v>
      </c>
      <c r="C942" s="1" t="str">
        <f>"女"</f>
        <v>女</v>
      </c>
      <c r="D942" s="1" t="str">
        <f t="shared" si="112"/>
        <v>蒙古族</v>
      </c>
      <c r="E942" s="1" t="str">
        <f>"15062211807"</f>
        <v>15062211807</v>
      </c>
      <c r="F942" s="1">
        <v>18</v>
      </c>
      <c r="G942" s="1">
        <v>7</v>
      </c>
      <c r="H942" s="5">
        <v>0</v>
      </c>
      <c r="I942" s="1">
        <v>0</v>
      </c>
      <c r="J942" s="1">
        <f t="shared" si="110"/>
        <v>0</v>
      </c>
    </row>
    <row r="943" spans="1:10">
      <c r="A943" s="1" t="s">
        <v>31</v>
      </c>
      <c r="B943" s="1" t="str">
        <f>"布拉嘎"</f>
        <v>布拉嘎</v>
      </c>
      <c r="C943" s="1" t="str">
        <f>"男"</f>
        <v>男</v>
      </c>
      <c r="D943" s="1" t="str">
        <f t="shared" si="112"/>
        <v>蒙古族</v>
      </c>
      <c r="E943" s="1" t="str">
        <f>"15062211808"</f>
        <v>15062211808</v>
      </c>
      <c r="F943" s="1">
        <v>18</v>
      </c>
      <c r="G943" s="1">
        <v>8</v>
      </c>
      <c r="H943" s="5">
        <v>40</v>
      </c>
      <c r="I943" s="1">
        <v>2.5</v>
      </c>
      <c r="J943" s="1">
        <f t="shared" si="110"/>
        <v>42.5</v>
      </c>
    </row>
    <row r="944" spans="1:10">
      <c r="A944" s="1" t="s">
        <v>31</v>
      </c>
      <c r="B944" s="1" t="str">
        <f>"莎日娜"</f>
        <v>莎日娜</v>
      </c>
      <c r="C944" s="1" t="str">
        <f>"女"</f>
        <v>女</v>
      </c>
      <c r="D944" s="1" t="str">
        <f t="shared" si="112"/>
        <v>蒙古族</v>
      </c>
      <c r="E944" s="1" t="str">
        <f>"15062211809"</f>
        <v>15062211809</v>
      </c>
      <c r="F944" s="1">
        <v>18</v>
      </c>
      <c r="G944" s="1">
        <v>9</v>
      </c>
      <c r="H944" s="5">
        <v>30</v>
      </c>
      <c r="I944" s="1">
        <v>2.5</v>
      </c>
      <c r="J944" s="1">
        <f t="shared" si="110"/>
        <v>32.5</v>
      </c>
    </row>
    <row r="945" spans="1:10">
      <c r="A945" s="1" t="s">
        <v>31</v>
      </c>
      <c r="B945" s="1" t="str">
        <f>"阿云嘎"</f>
        <v>阿云嘎</v>
      </c>
      <c r="C945" s="1" t="str">
        <f t="shared" ref="C945:C956" si="113">"男"</f>
        <v>男</v>
      </c>
      <c r="D945" s="1" t="str">
        <f t="shared" si="112"/>
        <v>蒙古族</v>
      </c>
      <c r="E945" s="1" t="str">
        <f>"15062211810"</f>
        <v>15062211810</v>
      </c>
      <c r="F945" s="1">
        <v>18</v>
      </c>
      <c r="G945" s="1">
        <v>10</v>
      </c>
      <c r="H945" s="5">
        <v>0</v>
      </c>
      <c r="I945" s="1">
        <v>0</v>
      </c>
      <c r="J945" s="1">
        <f t="shared" si="110"/>
        <v>0</v>
      </c>
    </row>
    <row r="946" spans="1:10">
      <c r="A946" s="1" t="s">
        <v>32</v>
      </c>
      <c r="B946" s="1" t="str">
        <f>"张桐源"</f>
        <v>张桐源</v>
      </c>
      <c r="C946" s="1" t="str">
        <f t="shared" si="113"/>
        <v>男</v>
      </c>
      <c r="D946" s="1" t="str">
        <f>"汉族"</f>
        <v>汉族</v>
      </c>
      <c r="E946" s="1" t="str">
        <f>"15062233618"</f>
        <v>15062233618</v>
      </c>
      <c r="F946" s="1">
        <v>36</v>
      </c>
      <c r="G946" s="1">
        <v>18</v>
      </c>
      <c r="H946" s="5">
        <v>70</v>
      </c>
      <c r="I946" s="1">
        <v>0</v>
      </c>
      <c r="J946" s="1">
        <f t="shared" si="110"/>
        <v>70</v>
      </c>
    </row>
    <row r="947" spans="1:10">
      <c r="A947" s="1" t="s">
        <v>32</v>
      </c>
      <c r="B947" s="1" t="str">
        <f>"靳子仪"</f>
        <v>靳子仪</v>
      </c>
      <c r="C947" s="1" t="str">
        <f t="shared" si="113"/>
        <v>男</v>
      </c>
      <c r="D947" s="1" t="str">
        <f>"蒙古族"</f>
        <v>蒙古族</v>
      </c>
      <c r="E947" s="1" t="str">
        <f>"15062233619"</f>
        <v>15062233619</v>
      </c>
      <c r="F947" s="1">
        <v>36</v>
      </c>
      <c r="G947" s="1">
        <v>19</v>
      </c>
      <c r="H947" s="5">
        <v>0</v>
      </c>
      <c r="I947" s="1">
        <v>0</v>
      </c>
      <c r="J947" s="1">
        <f t="shared" si="110"/>
        <v>0</v>
      </c>
    </row>
    <row r="948" spans="1:10">
      <c r="A948" s="1" t="s">
        <v>32</v>
      </c>
      <c r="B948" s="1" t="str">
        <f>"张辉"</f>
        <v>张辉</v>
      </c>
      <c r="C948" s="1" t="str">
        <f t="shared" si="113"/>
        <v>男</v>
      </c>
      <c r="D948" s="1" t="str">
        <f>"汉族"</f>
        <v>汉族</v>
      </c>
      <c r="E948" s="1" t="str">
        <f>"15062233620"</f>
        <v>15062233620</v>
      </c>
      <c r="F948" s="1">
        <v>36</v>
      </c>
      <c r="G948" s="1">
        <v>20</v>
      </c>
      <c r="H948" s="5">
        <v>49</v>
      </c>
      <c r="I948" s="1">
        <v>0</v>
      </c>
      <c r="J948" s="1">
        <f t="shared" si="110"/>
        <v>49</v>
      </c>
    </row>
    <row r="949" spans="1:10">
      <c r="A949" s="1" t="s">
        <v>32</v>
      </c>
      <c r="B949" s="1" t="str">
        <f>"干迪格"</f>
        <v>干迪格</v>
      </c>
      <c r="C949" s="1" t="str">
        <f t="shared" si="113"/>
        <v>男</v>
      </c>
      <c r="D949" s="1" t="str">
        <f>"蒙古族"</f>
        <v>蒙古族</v>
      </c>
      <c r="E949" s="1" t="str">
        <f>"15062233621"</f>
        <v>15062233621</v>
      </c>
      <c r="F949" s="1">
        <v>36</v>
      </c>
      <c r="G949" s="1">
        <v>21</v>
      </c>
      <c r="H949" s="5">
        <v>44</v>
      </c>
      <c r="I949" s="1">
        <v>2.5</v>
      </c>
      <c r="J949" s="1">
        <f t="shared" si="110"/>
        <v>46.5</v>
      </c>
    </row>
    <row r="950" spans="1:10">
      <c r="A950" s="1" t="s">
        <v>32</v>
      </c>
      <c r="B950" s="1" t="str">
        <f>"男"</f>
        <v>男</v>
      </c>
      <c r="C950" s="1" t="str">
        <f t="shared" si="113"/>
        <v>男</v>
      </c>
      <c r="D950" s="1" t="str">
        <f>"汉族"</f>
        <v>汉族</v>
      </c>
      <c r="E950" s="1" t="str">
        <f>"15062233622"</f>
        <v>15062233622</v>
      </c>
      <c r="F950" s="1">
        <v>36</v>
      </c>
      <c r="G950" s="1">
        <v>22</v>
      </c>
      <c r="H950" s="5">
        <v>0</v>
      </c>
      <c r="I950" s="1">
        <v>0</v>
      </c>
      <c r="J950" s="1">
        <f t="shared" si="110"/>
        <v>0</v>
      </c>
    </row>
    <row r="951" spans="1:10">
      <c r="A951" s="1" t="s">
        <v>32</v>
      </c>
      <c r="B951" s="1" t="str">
        <f>"阿云嘎"</f>
        <v>阿云嘎</v>
      </c>
      <c r="C951" s="1" t="str">
        <f t="shared" si="113"/>
        <v>男</v>
      </c>
      <c r="D951" s="1" t="str">
        <f>"蒙古族"</f>
        <v>蒙古族</v>
      </c>
      <c r="E951" s="1" t="str">
        <f>"15062233623"</f>
        <v>15062233623</v>
      </c>
      <c r="F951" s="1">
        <v>36</v>
      </c>
      <c r="G951" s="1">
        <v>23</v>
      </c>
      <c r="H951" s="5">
        <v>49</v>
      </c>
      <c r="I951" s="1">
        <v>2.5</v>
      </c>
      <c r="J951" s="1">
        <f t="shared" si="110"/>
        <v>51.5</v>
      </c>
    </row>
    <row r="952" spans="1:10">
      <c r="A952" s="1" t="s">
        <v>32</v>
      </c>
      <c r="B952" s="1" t="str">
        <f>"罗涛"</f>
        <v>罗涛</v>
      </c>
      <c r="C952" s="1" t="str">
        <f t="shared" si="113"/>
        <v>男</v>
      </c>
      <c r="D952" s="1" t="str">
        <f>"汉族"</f>
        <v>汉族</v>
      </c>
      <c r="E952" s="1" t="str">
        <f>"15062233624"</f>
        <v>15062233624</v>
      </c>
      <c r="F952" s="1">
        <v>36</v>
      </c>
      <c r="G952" s="1">
        <v>24</v>
      </c>
      <c r="H952" s="5">
        <v>51</v>
      </c>
      <c r="I952" s="1">
        <v>0</v>
      </c>
      <c r="J952" s="1">
        <f t="shared" si="110"/>
        <v>51</v>
      </c>
    </row>
    <row r="953" spans="1:10">
      <c r="A953" s="1" t="s">
        <v>32</v>
      </c>
      <c r="B953" s="1" t="str">
        <f>"牛金峰"</f>
        <v>牛金峰</v>
      </c>
      <c r="C953" s="1" t="str">
        <f t="shared" si="113"/>
        <v>男</v>
      </c>
      <c r="D953" s="1" t="str">
        <f>"蒙古族"</f>
        <v>蒙古族</v>
      </c>
      <c r="E953" s="1" t="str">
        <f>"15062233625"</f>
        <v>15062233625</v>
      </c>
      <c r="F953" s="1">
        <v>36</v>
      </c>
      <c r="G953" s="1">
        <v>25</v>
      </c>
      <c r="H953" s="5">
        <v>49</v>
      </c>
      <c r="I953" s="1">
        <v>2.5</v>
      </c>
      <c r="J953" s="1">
        <f t="shared" si="110"/>
        <v>51.5</v>
      </c>
    </row>
    <row r="954" spans="1:10">
      <c r="A954" s="1" t="s">
        <v>32</v>
      </c>
      <c r="B954" s="1" t="str">
        <f>"燕高伟"</f>
        <v>燕高伟</v>
      </c>
      <c r="C954" s="1" t="str">
        <f t="shared" si="113"/>
        <v>男</v>
      </c>
      <c r="D954" s="1" t="str">
        <f>"汉族"</f>
        <v>汉族</v>
      </c>
      <c r="E954" s="1" t="str">
        <f>"15062233626"</f>
        <v>15062233626</v>
      </c>
      <c r="F954" s="1">
        <v>36</v>
      </c>
      <c r="G954" s="1">
        <v>26</v>
      </c>
      <c r="H954" s="5">
        <v>0</v>
      </c>
      <c r="I954" s="1">
        <v>0</v>
      </c>
      <c r="J954" s="1">
        <f t="shared" si="110"/>
        <v>0</v>
      </c>
    </row>
    <row r="955" spans="1:10">
      <c r="A955" s="1" t="s">
        <v>32</v>
      </c>
      <c r="B955" s="1" t="str">
        <f>"千星"</f>
        <v>千星</v>
      </c>
      <c r="C955" s="1" t="str">
        <f t="shared" si="113"/>
        <v>男</v>
      </c>
      <c r="D955" s="1" t="str">
        <f>"蒙古族"</f>
        <v>蒙古族</v>
      </c>
      <c r="E955" s="1" t="str">
        <f>"15062233627"</f>
        <v>15062233627</v>
      </c>
      <c r="F955" s="1">
        <v>36</v>
      </c>
      <c r="G955" s="1">
        <v>27</v>
      </c>
      <c r="H955" s="5">
        <v>50</v>
      </c>
      <c r="I955" s="1">
        <v>2.5</v>
      </c>
      <c r="J955" s="1">
        <f t="shared" si="110"/>
        <v>52.5</v>
      </c>
    </row>
    <row r="956" spans="1:10">
      <c r="A956" s="1" t="s">
        <v>32</v>
      </c>
      <c r="B956" s="1" t="str">
        <f>"那木日"</f>
        <v>那木日</v>
      </c>
      <c r="C956" s="1" t="str">
        <f t="shared" si="113"/>
        <v>男</v>
      </c>
      <c r="D956" s="1" t="str">
        <f>"蒙古族"</f>
        <v>蒙古族</v>
      </c>
      <c r="E956" s="1" t="str">
        <f>"15062233628"</f>
        <v>15062233628</v>
      </c>
      <c r="F956" s="1">
        <v>36</v>
      </c>
      <c r="G956" s="1">
        <v>28</v>
      </c>
      <c r="H956" s="5">
        <v>35</v>
      </c>
      <c r="I956" s="1">
        <v>2.5</v>
      </c>
      <c r="J956" s="1">
        <f t="shared" si="110"/>
        <v>37.5</v>
      </c>
    </row>
    <row r="957" spans="1:10">
      <c r="A957" s="1" t="s">
        <v>32</v>
      </c>
      <c r="B957" s="1" t="str">
        <f>"塔娜"</f>
        <v>塔娜</v>
      </c>
      <c r="C957" s="1" t="str">
        <f>"女"</f>
        <v>女</v>
      </c>
      <c r="D957" s="1" t="str">
        <f>"蒙古族"</f>
        <v>蒙古族</v>
      </c>
      <c r="E957" s="1" t="str">
        <f>"15062233629"</f>
        <v>15062233629</v>
      </c>
      <c r="F957" s="1">
        <v>36</v>
      </c>
      <c r="G957" s="1">
        <v>29</v>
      </c>
      <c r="H957" s="5">
        <v>0</v>
      </c>
      <c r="I957" s="1">
        <v>0</v>
      </c>
      <c r="J957" s="1">
        <f t="shared" si="110"/>
        <v>0</v>
      </c>
    </row>
    <row r="958" spans="1:10">
      <c r="A958" s="1" t="s">
        <v>32</v>
      </c>
      <c r="B958" s="1" t="str">
        <f>"王志强"</f>
        <v>王志强</v>
      </c>
      <c r="C958" s="1" t="str">
        <f t="shared" ref="C958:C963" si="114">"男"</f>
        <v>男</v>
      </c>
      <c r="D958" s="1" t="str">
        <f t="shared" ref="D958:D963" si="115">"汉族"</f>
        <v>汉族</v>
      </c>
      <c r="E958" s="1" t="str">
        <f>"15062233630"</f>
        <v>15062233630</v>
      </c>
      <c r="F958" s="1">
        <v>36</v>
      </c>
      <c r="G958" s="1">
        <v>30</v>
      </c>
      <c r="H958" s="5">
        <v>0</v>
      </c>
      <c r="I958" s="1">
        <v>0</v>
      </c>
      <c r="J958" s="1">
        <f t="shared" si="110"/>
        <v>0</v>
      </c>
    </row>
    <row r="959" spans="1:10">
      <c r="A959" s="1" t="s">
        <v>32</v>
      </c>
      <c r="B959" s="1" t="str">
        <f>"兰秉昇"</f>
        <v>兰秉昇</v>
      </c>
      <c r="C959" s="1" t="str">
        <f t="shared" si="114"/>
        <v>男</v>
      </c>
      <c r="D959" s="1" t="str">
        <f t="shared" si="115"/>
        <v>汉族</v>
      </c>
      <c r="E959" s="1" t="str">
        <f>"15062233701"</f>
        <v>15062233701</v>
      </c>
      <c r="F959" s="1">
        <v>37</v>
      </c>
      <c r="G959" s="1">
        <v>1</v>
      </c>
      <c r="H959" s="5">
        <v>67</v>
      </c>
      <c r="I959" s="1">
        <v>0</v>
      </c>
      <c r="J959" s="1">
        <f t="shared" si="110"/>
        <v>67</v>
      </c>
    </row>
    <row r="960" spans="1:10">
      <c r="A960" s="1" t="s">
        <v>32</v>
      </c>
      <c r="B960" s="1" t="str">
        <f>"刘玮"</f>
        <v>刘玮</v>
      </c>
      <c r="C960" s="1" t="str">
        <f t="shared" si="114"/>
        <v>男</v>
      </c>
      <c r="D960" s="1" t="str">
        <f t="shared" si="115"/>
        <v>汉族</v>
      </c>
      <c r="E960" s="1" t="str">
        <f>"15062233702"</f>
        <v>15062233702</v>
      </c>
      <c r="F960" s="1">
        <v>37</v>
      </c>
      <c r="G960" s="1">
        <v>2</v>
      </c>
      <c r="H960" s="5">
        <v>48</v>
      </c>
      <c r="I960" s="1">
        <v>0</v>
      </c>
      <c r="J960" s="1">
        <f t="shared" si="110"/>
        <v>48</v>
      </c>
    </row>
    <row r="961" spans="1:10">
      <c r="A961" s="1" t="s">
        <v>32</v>
      </c>
      <c r="B961" s="1" t="str">
        <f>"温耀祖"</f>
        <v>温耀祖</v>
      </c>
      <c r="C961" s="1" t="str">
        <f t="shared" si="114"/>
        <v>男</v>
      </c>
      <c r="D961" s="1" t="str">
        <f t="shared" si="115"/>
        <v>汉族</v>
      </c>
      <c r="E961" s="1" t="str">
        <f>"15062233703"</f>
        <v>15062233703</v>
      </c>
      <c r="F961" s="1">
        <v>37</v>
      </c>
      <c r="G961" s="1">
        <v>3</v>
      </c>
      <c r="H961" s="5">
        <v>46</v>
      </c>
      <c r="I961" s="1">
        <v>0</v>
      </c>
      <c r="J961" s="1">
        <f t="shared" si="110"/>
        <v>46</v>
      </c>
    </row>
    <row r="962" spans="1:10">
      <c r="A962" s="1" t="s">
        <v>32</v>
      </c>
      <c r="B962" s="1" t="str">
        <f>"梁智运"</f>
        <v>梁智运</v>
      </c>
      <c r="C962" s="1" t="str">
        <f t="shared" si="114"/>
        <v>男</v>
      </c>
      <c r="D962" s="1" t="str">
        <f t="shared" si="115"/>
        <v>汉族</v>
      </c>
      <c r="E962" s="1" t="str">
        <f>"15062233704"</f>
        <v>15062233704</v>
      </c>
      <c r="F962" s="1">
        <v>37</v>
      </c>
      <c r="G962" s="1">
        <v>4</v>
      </c>
      <c r="H962" s="5">
        <v>60</v>
      </c>
      <c r="I962" s="1">
        <v>0</v>
      </c>
      <c r="J962" s="1">
        <f t="shared" si="110"/>
        <v>60</v>
      </c>
    </row>
    <row r="963" spans="1:10">
      <c r="A963" s="1" t="s">
        <v>32</v>
      </c>
      <c r="B963" s="1" t="str">
        <f>"郑腾飞"</f>
        <v>郑腾飞</v>
      </c>
      <c r="C963" s="1" t="str">
        <f t="shared" si="114"/>
        <v>男</v>
      </c>
      <c r="D963" s="1" t="str">
        <f t="shared" si="115"/>
        <v>汉族</v>
      </c>
      <c r="E963" s="1" t="str">
        <f>"15062233705"</f>
        <v>15062233705</v>
      </c>
      <c r="F963" s="1">
        <v>37</v>
      </c>
      <c r="G963" s="1">
        <v>5</v>
      </c>
      <c r="H963" s="5">
        <v>34</v>
      </c>
      <c r="I963" s="1">
        <v>0</v>
      </c>
      <c r="J963" s="1">
        <f t="shared" si="110"/>
        <v>34</v>
      </c>
    </row>
  </sheetData>
  <sheetProtection sheet="1" objects="1" scenarios="1"/>
  <autoFilter ref="A2:J2"/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2019-11-18T09:25:07Z</dcterms:modified>
</cp:coreProperties>
</file>