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" sheetId="1" r:id="rId1"/>
  </sheets>
  <definedNames>
    <definedName name="_xlnm._FilterDatabase" localSheetId="0" hidden="1">'附件2'!$E$3:$E$3195</definedName>
  </definedNames>
  <calcPr fullCalcOnLoad="1"/>
</workbook>
</file>

<file path=xl/sharedStrings.xml><?xml version="1.0" encoding="utf-8"?>
<sst xmlns="http://schemas.openxmlformats.org/spreadsheetml/2006/main" count="7057" uniqueCount="81">
  <si>
    <t>附件2：</t>
  </si>
  <si>
    <t>2019年海曙区事业单位公开招聘事业人员笔试成绩及资格复审对象（10.13下午）</t>
  </si>
  <si>
    <t>报考单位</t>
  </si>
  <si>
    <t>报考职位</t>
  </si>
  <si>
    <t>准考证号</t>
  </si>
  <si>
    <t>成绩</t>
  </si>
  <si>
    <t>资格复审对象</t>
  </si>
  <si>
    <t>宁波市海曙81890求助服务中心</t>
  </si>
  <si>
    <t>综合管理</t>
  </si>
  <si>
    <t>√</t>
  </si>
  <si>
    <t>宁波市海曙区不动产登记服务中心</t>
  </si>
  <si>
    <t>政策法规</t>
  </si>
  <si>
    <t>缺考</t>
  </si>
  <si>
    <t>宁波市海曙区畜牧兽医技术管理服务站</t>
  </si>
  <si>
    <t>屠宰检疫</t>
  </si>
  <si>
    <t>宁波市海曙区洞桥镇公共安全监督管理所</t>
  </si>
  <si>
    <t>法律事务</t>
  </si>
  <si>
    <t>宁波市海曙区洞桥镇公共事务服务中心</t>
  </si>
  <si>
    <t>城建管理</t>
  </si>
  <si>
    <t>会计审计</t>
  </si>
  <si>
    <t>宁波市海曙区高桥镇公共事务服务中心</t>
  </si>
  <si>
    <t>农经管理</t>
  </si>
  <si>
    <t>统计</t>
  </si>
  <si>
    <t>宁波市海曙区工业经济发展研究中心</t>
  </si>
  <si>
    <t>经济管理</t>
  </si>
  <si>
    <t>宁波市海曙区鼓楼街道公共事务服务中心</t>
  </si>
  <si>
    <t>宁波市海曙区规划服务中心</t>
  </si>
  <si>
    <t>规划管理</t>
  </si>
  <si>
    <t>林业管理</t>
  </si>
  <si>
    <t>宁波市海曙区规划与地理信息中心</t>
  </si>
  <si>
    <t>地理信息开发管理</t>
  </si>
  <si>
    <t>地理信息数据管理</t>
  </si>
  <si>
    <t>建筑管理</t>
  </si>
  <si>
    <t>宁波市海曙区行政审批服务中心</t>
  </si>
  <si>
    <t>审批管理</t>
  </si>
  <si>
    <t>宁波市海曙区横街镇公共事务服务中心</t>
  </si>
  <si>
    <t>城建规划</t>
  </si>
  <si>
    <t>综合文字(1)</t>
  </si>
  <si>
    <t>综合文字(2)</t>
  </si>
  <si>
    <t>宁波市海曙区集士港镇资源配置和审批服务中心</t>
  </si>
  <si>
    <t>宁波市海曙区江厦街道公共安全监督管理所</t>
  </si>
  <si>
    <t>宁波市海曙区金融服务中心</t>
  </si>
  <si>
    <t>金融服务</t>
  </si>
  <si>
    <t>宁波市海曙区经济研究中心</t>
  </si>
  <si>
    <t>财务管理</t>
  </si>
  <si>
    <t>宁波市海曙区南门街道公共事务服务中心</t>
  </si>
  <si>
    <t>宁波市海曙区农业技术管理服务站</t>
  </si>
  <si>
    <t>农技推广</t>
  </si>
  <si>
    <t>宁波市海曙区人才服务中心</t>
  </si>
  <si>
    <t>宁波市海曙区人民法院审判保障服务中心</t>
  </si>
  <si>
    <t>计算机管理</t>
  </si>
  <si>
    <t>审判辅助人员</t>
  </si>
  <si>
    <t>审判辅助人员(1)</t>
  </si>
  <si>
    <t>审判辅助人员(2)</t>
  </si>
  <si>
    <t>宁波市海曙区石碶街道公共安全监督管理所</t>
  </si>
  <si>
    <t>宁波市海曙区石碶街道公共事务服务中心</t>
  </si>
  <si>
    <t>宁波市海曙区石碶市场区管理委员会</t>
  </si>
  <si>
    <t>综合文字</t>
  </si>
  <si>
    <t>宁波市海曙区体育指导中心</t>
  </si>
  <si>
    <t>宁波市海曙区土地储备中心</t>
  </si>
  <si>
    <t>土地开发整理</t>
  </si>
  <si>
    <t>宁波市海曙区望春街道公共事务服务中心</t>
  </si>
  <si>
    <t>宁波市海曙区文化馆</t>
  </si>
  <si>
    <t>广播策划编导</t>
  </si>
  <si>
    <t>宁波市海曙区文物管理所</t>
  </si>
  <si>
    <t>综合规划</t>
  </si>
  <si>
    <t>宁波市海曙区溪下水库管理中心</t>
  </si>
  <si>
    <t>水利工程</t>
  </si>
  <si>
    <t>闸门运行</t>
  </si>
  <si>
    <t>宁波市海曙区鄞江水利管理站</t>
  </si>
  <si>
    <t>机电维管</t>
  </si>
  <si>
    <t>宁波市海曙区鄞江镇公共事务服务中心</t>
  </si>
  <si>
    <t>宁波市海曙区月湖街道公共事务服务中心</t>
  </si>
  <si>
    <t>宁波市海曙区章水镇公共事务服务中心</t>
  </si>
  <si>
    <t>农林水利</t>
  </si>
  <si>
    <t>宁波市海曙区招商中心</t>
  </si>
  <si>
    <t>招商引资（1）</t>
  </si>
  <si>
    <t>招商引资（2）</t>
  </si>
  <si>
    <t>宁波市天一阁·月湖景区管理服务中心</t>
  </si>
  <si>
    <t>景区运营（1）</t>
  </si>
  <si>
    <t>景区运营（2）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</si>
</sst>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大标宋简体"/>
      <family val="4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5" fillId="0" borderId="4" applyNumberFormat="0" applyFill="0" applyAlignment="0" applyProtection="0"/>
    <xf numFmtId="0" fontId="8" fillId="7" borderId="0" applyNumberFormat="0" applyBorder="0" applyAlignment="0" applyProtection="0"/>
    <xf numFmtId="0" fontId="18" fillId="0" borderId="5" applyNumberFormat="0" applyFill="0" applyAlignment="0" applyProtection="0"/>
    <xf numFmtId="0" fontId="8" fillId="3" borderId="0" applyNumberFormat="0" applyBorder="0" applyAlignment="0" applyProtection="0"/>
    <xf numFmtId="0" fontId="14" fillId="2" borderId="6" applyNumberFormat="0" applyAlignment="0" applyProtection="0"/>
    <xf numFmtId="0" fontId="23" fillId="2" borderId="1" applyNumberFormat="0" applyAlignment="0" applyProtection="0"/>
    <xf numFmtId="0" fontId="9" fillId="8" borderId="7" applyNumberFormat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24" fillId="0" borderId="8" applyNumberFormat="0" applyFill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4" borderId="0" applyNumberFormat="0" applyBorder="0" applyAlignment="0" applyProtection="0"/>
    <xf numFmtId="0" fontId="8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0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94"/>
  <sheetViews>
    <sheetView tabSelected="1" workbookViewId="0" topLeftCell="A2597">
      <selection activeCell="B2606" sqref="B2606"/>
    </sheetView>
  </sheetViews>
  <sheetFormatPr defaultColWidth="9.00390625" defaultRowHeight="13.5"/>
  <cols>
    <col min="1" max="1" width="40.125" style="1" customWidth="1"/>
    <col min="2" max="2" width="17.625" style="1" customWidth="1"/>
    <col min="3" max="3" width="25.625" style="1" customWidth="1"/>
    <col min="4" max="4" width="19.25390625" style="1" customWidth="1"/>
    <col min="5" max="5" width="22.50390625" style="2" customWidth="1"/>
    <col min="6" max="16384" width="9.00390625" style="1" customWidth="1"/>
  </cols>
  <sheetData>
    <row r="1" spans="1:5" ht="13.5">
      <c r="A1" s="1" t="s">
        <v>0</v>
      </c>
      <c r="E1" s="3"/>
    </row>
    <row r="2" spans="1:5" ht="26.25">
      <c r="A2" s="4" t="s">
        <v>1</v>
      </c>
      <c r="B2" s="4"/>
      <c r="C2" s="4"/>
      <c r="D2" s="4"/>
      <c r="E2" s="5"/>
    </row>
    <row r="3" spans="1:5" ht="19.5" customHeight="1">
      <c r="A3" s="6" t="s">
        <v>2</v>
      </c>
      <c r="B3" s="7" t="s">
        <v>3</v>
      </c>
      <c r="C3" s="8" t="s">
        <v>4</v>
      </c>
      <c r="D3" s="9" t="s">
        <v>5</v>
      </c>
      <c r="E3" s="10" t="s">
        <v>6</v>
      </c>
    </row>
    <row r="4" spans="1:5" ht="19.5" customHeight="1">
      <c r="A4" s="11" t="s">
        <v>7</v>
      </c>
      <c r="B4" s="12" t="s">
        <v>8</v>
      </c>
      <c r="C4" s="11" t="str">
        <f>"20190110501"</f>
        <v>20190110501</v>
      </c>
      <c r="D4" s="13">
        <v>65</v>
      </c>
      <c r="E4" s="14" t="s">
        <v>9</v>
      </c>
    </row>
    <row r="5" spans="1:5" ht="19.5" customHeight="1">
      <c r="A5" s="15" t="s">
        <v>7</v>
      </c>
      <c r="B5" s="16" t="s">
        <v>8</v>
      </c>
      <c r="C5" s="15" t="str">
        <f>"20190110502"</f>
        <v>20190110502</v>
      </c>
      <c r="D5" s="17">
        <v>68.5</v>
      </c>
      <c r="E5" s="18" t="s">
        <v>9</v>
      </c>
    </row>
    <row r="6" spans="1:4" ht="19.5" customHeight="1">
      <c r="A6" s="15" t="s">
        <v>7</v>
      </c>
      <c r="B6" s="16" t="s">
        <v>8</v>
      </c>
      <c r="C6" s="15" t="str">
        <f>"20190110503"</f>
        <v>20190110503</v>
      </c>
      <c r="D6" s="17">
        <v>58.5</v>
      </c>
    </row>
    <row r="7" spans="1:5" ht="19.5" customHeight="1">
      <c r="A7" s="15" t="s">
        <v>7</v>
      </c>
      <c r="B7" s="16" t="s">
        <v>8</v>
      </c>
      <c r="C7" s="15" t="str">
        <f>"20190110504"</f>
        <v>20190110504</v>
      </c>
      <c r="D7" s="17">
        <v>64</v>
      </c>
      <c r="E7" s="19"/>
    </row>
    <row r="8" spans="1:5" ht="19.5" customHeight="1">
      <c r="A8" s="15" t="s">
        <v>7</v>
      </c>
      <c r="B8" s="16" t="s">
        <v>8</v>
      </c>
      <c r="C8" s="15" t="str">
        <f>"20190110505"</f>
        <v>20190110505</v>
      </c>
      <c r="D8" s="17">
        <v>52</v>
      </c>
      <c r="E8" s="19"/>
    </row>
    <row r="9" spans="1:5" ht="19.5" customHeight="1">
      <c r="A9" s="15" t="s">
        <v>7</v>
      </c>
      <c r="B9" s="16" t="s">
        <v>8</v>
      </c>
      <c r="C9" s="15" t="str">
        <f>"20190110506"</f>
        <v>20190110506</v>
      </c>
      <c r="D9" s="17">
        <v>74.5</v>
      </c>
      <c r="E9" s="18" t="s">
        <v>9</v>
      </c>
    </row>
    <row r="10" spans="1:5" ht="19.5" customHeight="1">
      <c r="A10" s="15" t="s">
        <v>7</v>
      </c>
      <c r="B10" s="16" t="s">
        <v>8</v>
      </c>
      <c r="C10" s="15" t="str">
        <f>"20190110507"</f>
        <v>20190110507</v>
      </c>
      <c r="D10" s="17">
        <v>64.5</v>
      </c>
      <c r="E10" s="19"/>
    </row>
    <row r="11" spans="1:4" ht="19.5" customHeight="1">
      <c r="A11" s="15" t="s">
        <v>10</v>
      </c>
      <c r="B11" s="16" t="s">
        <v>11</v>
      </c>
      <c r="C11" s="15" t="str">
        <f>"20190110508"</f>
        <v>20190110508</v>
      </c>
      <c r="D11" s="17">
        <v>58.5</v>
      </c>
    </row>
    <row r="12" spans="1:4" ht="19.5" customHeight="1">
      <c r="A12" s="15" t="s">
        <v>10</v>
      </c>
      <c r="B12" s="16" t="s">
        <v>11</v>
      </c>
      <c r="C12" s="15" t="str">
        <f>"20190110509"</f>
        <v>20190110509</v>
      </c>
      <c r="D12" s="17" t="s">
        <v>12</v>
      </c>
    </row>
    <row r="13" spans="1:5" ht="19.5" customHeight="1">
      <c r="A13" s="15" t="s">
        <v>10</v>
      </c>
      <c r="B13" s="16" t="s">
        <v>11</v>
      </c>
      <c r="C13" s="15" t="str">
        <f>"20190110510"</f>
        <v>20190110510</v>
      </c>
      <c r="D13" s="17">
        <v>72.5</v>
      </c>
      <c r="E13" s="18" t="s">
        <v>9</v>
      </c>
    </row>
    <row r="14" spans="1:4" ht="19.5" customHeight="1">
      <c r="A14" s="15" t="s">
        <v>10</v>
      </c>
      <c r="B14" s="16" t="s">
        <v>11</v>
      </c>
      <c r="C14" s="15" t="str">
        <f>"20190110511"</f>
        <v>20190110511</v>
      </c>
      <c r="D14" s="17">
        <v>58</v>
      </c>
    </row>
    <row r="15" spans="1:4" ht="19.5" customHeight="1">
      <c r="A15" s="15" t="s">
        <v>10</v>
      </c>
      <c r="B15" s="16" t="s">
        <v>11</v>
      </c>
      <c r="C15" s="15" t="str">
        <f>"20190110512"</f>
        <v>20190110512</v>
      </c>
      <c r="D15" s="17">
        <v>62.5</v>
      </c>
    </row>
    <row r="16" spans="1:5" ht="19.5" customHeight="1">
      <c r="A16" s="15" t="s">
        <v>10</v>
      </c>
      <c r="B16" s="16" t="s">
        <v>11</v>
      </c>
      <c r="C16" s="15" t="str">
        <f>"20190110513"</f>
        <v>20190110513</v>
      </c>
      <c r="D16" s="17">
        <v>73.5</v>
      </c>
      <c r="E16" s="18" t="s">
        <v>9</v>
      </c>
    </row>
    <row r="17" spans="1:4" ht="19.5" customHeight="1">
      <c r="A17" s="15" t="s">
        <v>10</v>
      </c>
      <c r="B17" s="16" t="s">
        <v>11</v>
      </c>
      <c r="C17" s="15" t="str">
        <f>"20190110514"</f>
        <v>20190110514</v>
      </c>
      <c r="D17" s="17">
        <v>56</v>
      </c>
    </row>
    <row r="18" spans="1:4" ht="19.5" customHeight="1">
      <c r="A18" s="15" t="s">
        <v>10</v>
      </c>
      <c r="B18" s="16" t="s">
        <v>11</v>
      </c>
      <c r="C18" s="15" t="str">
        <f>"20190110515"</f>
        <v>20190110515</v>
      </c>
      <c r="D18" s="17" t="s">
        <v>12</v>
      </c>
    </row>
    <row r="19" spans="1:4" ht="19.5" customHeight="1">
      <c r="A19" s="15" t="s">
        <v>10</v>
      </c>
      <c r="B19" s="16" t="s">
        <v>11</v>
      </c>
      <c r="C19" s="15" t="str">
        <f>"20190110516"</f>
        <v>20190110516</v>
      </c>
      <c r="D19" s="17">
        <v>65</v>
      </c>
    </row>
    <row r="20" spans="1:4" ht="19.5" customHeight="1">
      <c r="A20" s="15" t="s">
        <v>10</v>
      </c>
      <c r="B20" s="16" t="s">
        <v>11</v>
      </c>
      <c r="C20" s="15" t="str">
        <f>"20190110517"</f>
        <v>20190110517</v>
      </c>
      <c r="D20" s="17">
        <v>58.5</v>
      </c>
    </row>
    <row r="21" spans="1:4" ht="19.5" customHeight="1">
      <c r="A21" s="15" t="s">
        <v>10</v>
      </c>
      <c r="B21" s="16" t="s">
        <v>11</v>
      </c>
      <c r="C21" s="15" t="str">
        <f>"20190110518"</f>
        <v>20190110518</v>
      </c>
      <c r="D21" s="17">
        <v>66</v>
      </c>
    </row>
    <row r="22" spans="1:4" ht="19.5" customHeight="1">
      <c r="A22" s="15" t="s">
        <v>10</v>
      </c>
      <c r="B22" s="16" t="s">
        <v>11</v>
      </c>
      <c r="C22" s="15" t="str">
        <f>"20190110519"</f>
        <v>20190110519</v>
      </c>
      <c r="D22" s="17">
        <v>56.5</v>
      </c>
    </row>
    <row r="23" spans="1:4" ht="19.5" customHeight="1">
      <c r="A23" s="15" t="s">
        <v>10</v>
      </c>
      <c r="B23" s="16" t="s">
        <v>11</v>
      </c>
      <c r="C23" s="15" t="str">
        <f>"20190110520"</f>
        <v>20190110520</v>
      </c>
      <c r="D23" s="17">
        <v>55.5</v>
      </c>
    </row>
    <row r="24" spans="1:5" ht="19.5" customHeight="1">
      <c r="A24" s="15" t="s">
        <v>10</v>
      </c>
      <c r="B24" s="16" t="s">
        <v>11</v>
      </c>
      <c r="C24" s="15" t="str">
        <f>"20190110521"</f>
        <v>20190110521</v>
      </c>
      <c r="D24" s="17">
        <v>60</v>
      </c>
      <c r="E24" s="19"/>
    </row>
    <row r="25" spans="1:5" ht="19.5" customHeight="1">
      <c r="A25" s="15" t="s">
        <v>10</v>
      </c>
      <c r="B25" s="16" t="s">
        <v>11</v>
      </c>
      <c r="C25" s="15" t="str">
        <f>"20190110522"</f>
        <v>20190110522</v>
      </c>
      <c r="D25" s="17" t="s">
        <v>12</v>
      </c>
      <c r="E25" s="19"/>
    </row>
    <row r="26" spans="1:5" ht="19.5" customHeight="1">
      <c r="A26" s="15" t="s">
        <v>10</v>
      </c>
      <c r="B26" s="16" t="s">
        <v>11</v>
      </c>
      <c r="C26" s="15" t="str">
        <f>"20190110523"</f>
        <v>20190110523</v>
      </c>
      <c r="D26" s="17" t="s">
        <v>12</v>
      </c>
      <c r="E26" s="19"/>
    </row>
    <row r="27" spans="1:4" ht="19.5" customHeight="1">
      <c r="A27" s="15" t="s">
        <v>10</v>
      </c>
      <c r="B27" s="16" t="s">
        <v>11</v>
      </c>
      <c r="C27" s="15" t="str">
        <f>"20190110524"</f>
        <v>20190110524</v>
      </c>
      <c r="D27" s="17">
        <v>63.5</v>
      </c>
    </row>
    <row r="28" spans="1:4" ht="19.5" customHeight="1">
      <c r="A28" s="15" t="s">
        <v>10</v>
      </c>
      <c r="B28" s="16" t="s">
        <v>11</v>
      </c>
      <c r="C28" s="15" t="str">
        <f>"20190110525"</f>
        <v>20190110525</v>
      </c>
      <c r="D28" s="17">
        <v>64</v>
      </c>
    </row>
    <row r="29" spans="1:4" ht="19.5" customHeight="1">
      <c r="A29" s="15" t="s">
        <v>10</v>
      </c>
      <c r="B29" s="16" t="s">
        <v>11</v>
      </c>
      <c r="C29" s="15" t="str">
        <f>"20190110526"</f>
        <v>20190110526</v>
      </c>
      <c r="D29" s="17">
        <v>60.5</v>
      </c>
    </row>
    <row r="30" spans="1:4" ht="19.5" customHeight="1">
      <c r="A30" s="15" t="s">
        <v>10</v>
      </c>
      <c r="B30" s="16" t="s">
        <v>11</v>
      </c>
      <c r="C30" s="15" t="str">
        <f>"20190110527"</f>
        <v>20190110527</v>
      </c>
      <c r="D30" s="17" t="s">
        <v>12</v>
      </c>
    </row>
    <row r="31" spans="1:4" ht="19.5" customHeight="1">
      <c r="A31" s="15" t="s">
        <v>10</v>
      </c>
      <c r="B31" s="16" t="s">
        <v>11</v>
      </c>
      <c r="C31" s="15" t="str">
        <f>"20190110528"</f>
        <v>20190110528</v>
      </c>
      <c r="D31" s="17">
        <v>57</v>
      </c>
    </row>
    <row r="32" spans="1:4" ht="19.5" customHeight="1">
      <c r="A32" s="15" t="s">
        <v>10</v>
      </c>
      <c r="B32" s="16" t="s">
        <v>11</v>
      </c>
      <c r="C32" s="15" t="str">
        <f>"20190110529"</f>
        <v>20190110529</v>
      </c>
      <c r="D32" s="17">
        <v>64.5</v>
      </c>
    </row>
    <row r="33" spans="1:5" ht="19.5" customHeight="1">
      <c r="A33" s="15" t="s">
        <v>10</v>
      </c>
      <c r="B33" s="16" t="s">
        <v>11</v>
      </c>
      <c r="C33" s="15" t="str">
        <f>"20190110530"</f>
        <v>20190110530</v>
      </c>
      <c r="D33" s="17">
        <v>73</v>
      </c>
      <c r="E33" s="18" t="s">
        <v>9</v>
      </c>
    </row>
    <row r="34" spans="1:5" ht="21.75" customHeight="1">
      <c r="A34" s="15" t="s">
        <v>10</v>
      </c>
      <c r="B34" s="16" t="s">
        <v>11</v>
      </c>
      <c r="C34" s="15" t="str">
        <f>"20190110601"</f>
        <v>20190110601</v>
      </c>
      <c r="D34" s="17">
        <v>58</v>
      </c>
      <c r="E34" s="19"/>
    </row>
    <row r="35" spans="1:5" ht="21.75" customHeight="1">
      <c r="A35" s="15" t="s">
        <v>10</v>
      </c>
      <c r="B35" s="16" t="s">
        <v>11</v>
      </c>
      <c r="C35" s="15" t="str">
        <f>"20190110602"</f>
        <v>20190110602</v>
      </c>
      <c r="D35" s="17">
        <v>50.5</v>
      </c>
      <c r="E35" s="19"/>
    </row>
    <row r="36" spans="1:5" ht="21.75" customHeight="1">
      <c r="A36" s="15" t="s">
        <v>10</v>
      </c>
      <c r="B36" s="16" t="s">
        <v>11</v>
      </c>
      <c r="C36" s="15" t="str">
        <f>"20190110603"</f>
        <v>20190110603</v>
      </c>
      <c r="D36" s="17">
        <v>69</v>
      </c>
      <c r="E36" s="19"/>
    </row>
    <row r="37" spans="1:4" ht="21.75" customHeight="1">
      <c r="A37" s="15" t="s">
        <v>10</v>
      </c>
      <c r="B37" s="16" t="s">
        <v>11</v>
      </c>
      <c r="C37" s="15" t="str">
        <f>"20190110604"</f>
        <v>20190110604</v>
      </c>
      <c r="D37" s="17">
        <v>64.5</v>
      </c>
    </row>
    <row r="38" spans="1:4" ht="21.75" customHeight="1">
      <c r="A38" s="15" t="s">
        <v>10</v>
      </c>
      <c r="B38" s="16" t="s">
        <v>11</v>
      </c>
      <c r="C38" s="15" t="str">
        <f>"20190110605"</f>
        <v>20190110605</v>
      </c>
      <c r="D38" s="17">
        <v>57.5</v>
      </c>
    </row>
    <row r="39" spans="1:4" ht="21.75" customHeight="1">
      <c r="A39" s="15" t="s">
        <v>10</v>
      </c>
      <c r="B39" s="16" t="s">
        <v>11</v>
      </c>
      <c r="C39" s="15" t="str">
        <f>"20190110606"</f>
        <v>20190110606</v>
      </c>
      <c r="D39" s="17">
        <v>59.5</v>
      </c>
    </row>
    <row r="40" spans="1:4" ht="21.75" customHeight="1">
      <c r="A40" s="15" t="s">
        <v>10</v>
      </c>
      <c r="B40" s="16" t="s">
        <v>11</v>
      </c>
      <c r="C40" s="15" t="str">
        <f>"20190110607"</f>
        <v>20190110607</v>
      </c>
      <c r="D40" s="17">
        <v>68</v>
      </c>
    </row>
    <row r="41" spans="1:4" ht="21.75" customHeight="1">
      <c r="A41" s="15" t="s">
        <v>10</v>
      </c>
      <c r="B41" s="16" t="s">
        <v>11</v>
      </c>
      <c r="C41" s="15" t="str">
        <f>"20190110608"</f>
        <v>20190110608</v>
      </c>
      <c r="D41" s="17">
        <v>58.5</v>
      </c>
    </row>
    <row r="42" spans="1:4" ht="21.75" customHeight="1">
      <c r="A42" s="15" t="s">
        <v>10</v>
      </c>
      <c r="B42" s="16" t="s">
        <v>11</v>
      </c>
      <c r="C42" s="15" t="str">
        <f>"20190110609"</f>
        <v>20190110609</v>
      </c>
      <c r="D42" s="17">
        <v>55</v>
      </c>
    </row>
    <row r="43" spans="1:4" ht="21.75" customHeight="1">
      <c r="A43" s="15" t="s">
        <v>10</v>
      </c>
      <c r="B43" s="16" t="s">
        <v>11</v>
      </c>
      <c r="C43" s="15" t="str">
        <f>"20190110610"</f>
        <v>20190110610</v>
      </c>
      <c r="D43" s="17">
        <v>61.5</v>
      </c>
    </row>
    <row r="44" spans="1:4" ht="21.75" customHeight="1">
      <c r="A44" s="15" t="s">
        <v>10</v>
      </c>
      <c r="B44" s="16" t="s">
        <v>11</v>
      </c>
      <c r="C44" s="15" t="str">
        <f>"20190110611"</f>
        <v>20190110611</v>
      </c>
      <c r="D44" s="17">
        <v>62.5</v>
      </c>
    </row>
    <row r="45" spans="1:4" ht="21.75" customHeight="1">
      <c r="A45" s="15" t="s">
        <v>10</v>
      </c>
      <c r="B45" s="16" t="s">
        <v>11</v>
      </c>
      <c r="C45" s="15" t="str">
        <f>"20190110612"</f>
        <v>20190110612</v>
      </c>
      <c r="D45" s="17" t="s">
        <v>12</v>
      </c>
    </row>
    <row r="46" spans="1:4" ht="21.75" customHeight="1">
      <c r="A46" s="15" t="s">
        <v>10</v>
      </c>
      <c r="B46" s="16" t="s">
        <v>11</v>
      </c>
      <c r="C46" s="15" t="str">
        <f>"20190110613"</f>
        <v>20190110613</v>
      </c>
      <c r="D46" s="17">
        <v>56</v>
      </c>
    </row>
    <row r="47" spans="1:4" ht="21.75" customHeight="1">
      <c r="A47" s="15" t="s">
        <v>10</v>
      </c>
      <c r="B47" s="16" t="s">
        <v>11</v>
      </c>
      <c r="C47" s="15" t="str">
        <f>"20190110614"</f>
        <v>20190110614</v>
      </c>
      <c r="D47" s="17">
        <v>65</v>
      </c>
    </row>
    <row r="48" spans="1:4" ht="21.75" customHeight="1">
      <c r="A48" s="15" t="s">
        <v>10</v>
      </c>
      <c r="B48" s="16" t="s">
        <v>11</v>
      </c>
      <c r="C48" s="15" t="str">
        <f>"20190110615"</f>
        <v>20190110615</v>
      </c>
      <c r="D48" s="17">
        <v>55.5</v>
      </c>
    </row>
    <row r="49" spans="1:4" ht="21.75" customHeight="1">
      <c r="A49" s="15" t="s">
        <v>10</v>
      </c>
      <c r="B49" s="16" t="s">
        <v>11</v>
      </c>
      <c r="C49" s="15" t="str">
        <f>"20190110616"</f>
        <v>20190110616</v>
      </c>
      <c r="D49" s="17">
        <v>63.5</v>
      </c>
    </row>
    <row r="50" spans="1:4" ht="21.75" customHeight="1">
      <c r="A50" s="15" t="s">
        <v>10</v>
      </c>
      <c r="B50" s="16" t="s">
        <v>11</v>
      </c>
      <c r="C50" s="15" t="str">
        <f>"20190110617"</f>
        <v>20190110617</v>
      </c>
      <c r="D50" s="17">
        <v>57</v>
      </c>
    </row>
    <row r="51" spans="1:4" ht="21.75" customHeight="1">
      <c r="A51" s="15" t="s">
        <v>10</v>
      </c>
      <c r="B51" s="16" t="s">
        <v>11</v>
      </c>
      <c r="C51" s="15" t="str">
        <f>"20190110618"</f>
        <v>20190110618</v>
      </c>
      <c r="D51" s="17">
        <v>59.5</v>
      </c>
    </row>
    <row r="52" spans="1:4" ht="21.75" customHeight="1">
      <c r="A52" s="15" t="s">
        <v>10</v>
      </c>
      <c r="B52" s="16" t="s">
        <v>11</v>
      </c>
      <c r="C52" s="15" t="str">
        <f>"20190110619"</f>
        <v>20190110619</v>
      </c>
      <c r="D52" s="17">
        <v>52.5</v>
      </c>
    </row>
    <row r="53" spans="1:4" ht="21.75" customHeight="1">
      <c r="A53" s="15" t="s">
        <v>10</v>
      </c>
      <c r="B53" s="16" t="s">
        <v>11</v>
      </c>
      <c r="C53" s="15" t="str">
        <f>"20190110620"</f>
        <v>20190110620</v>
      </c>
      <c r="D53" s="17">
        <v>71</v>
      </c>
    </row>
    <row r="54" spans="1:4" ht="21.75" customHeight="1">
      <c r="A54" s="15" t="s">
        <v>10</v>
      </c>
      <c r="B54" s="16" t="s">
        <v>11</v>
      </c>
      <c r="C54" s="15" t="str">
        <f>"20190110621"</f>
        <v>20190110621</v>
      </c>
      <c r="D54" s="17">
        <v>61</v>
      </c>
    </row>
    <row r="55" spans="1:4" ht="21.75" customHeight="1">
      <c r="A55" s="15" t="s">
        <v>10</v>
      </c>
      <c r="B55" s="16" t="s">
        <v>11</v>
      </c>
      <c r="C55" s="15" t="str">
        <f>"20190110622"</f>
        <v>20190110622</v>
      </c>
      <c r="D55" s="17">
        <v>59</v>
      </c>
    </row>
    <row r="56" spans="1:4" ht="21.75" customHeight="1">
      <c r="A56" s="15" t="s">
        <v>10</v>
      </c>
      <c r="B56" s="16" t="s">
        <v>11</v>
      </c>
      <c r="C56" s="15" t="str">
        <f>"20190110623"</f>
        <v>20190110623</v>
      </c>
      <c r="D56" s="17">
        <v>54.5</v>
      </c>
    </row>
    <row r="57" spans="1:4" ht="21.75" customHeight="1">
      <c r="A57" s="15" t="s">
        <v>10</v>
      </c>
      <c r="B57" s="16" t="s">
        <v>11</v>
      </c>
      <c r="C57" s="15" t="str">
        <f>"20190110624"</f>
        <v>20190110624</v>
      </c>
      <c r="D57" s="17">
        <v>29</v>
      </c>
    </row>
    <row r="58" spans="1:4" ht="21.75" customHeight="1">
      <c r="A58" s="15" t="s">
        <v>10</v>
      </c>
      <c r="B58" s="16" t="s">
        <v>11</v>
      </c>
      <c r="C58" s="15" t="str">
        <f>"20190110625"</f>
        <v>20190110625</v>
      </c>
      <c r="D58" s="17">
        <v>65</v>
      </c>
    </row>
    <row r="59" spans="1:4" ht="21.75" customHeight="1">
      <c r="A59" s="15" t="s">
        <v>10</v>
      </c>
      <c r="B59" s="16" t="s">
        <v>11</v>
      </c>
      <c r="C59" s="15" t="str">
        <f>"20190110626"</f>
        <v>20190110626</v>
      </c>
      <c r="D59" s="17">
        <v>54.5</v>
      </c>
    </row>
    <row r="60" spans="1:4" ht="21.75" customHeight="1">
      <c r="A60" s="15" t="s">
        <v>10</v>
      </c>
      <c r="B60" s="16" t="s">
        <v>11</v>
      </c>
      <c r="C60" s="15" t="str">
        <f>"20190110627"</f>
        <v>20190110627</v>
      </c>
      <c r="D60" s="17">
        <v>60.5</v>
      </c>
    </row>
    <row r="61" spans="1:4" ht="21.75" customHeight="1">
      <c r="A61" s="15" t="s">
        <v>10</v>
      </c>
      <c r="B61" s="16" t="s">
        <v>11</v>
      </c>
      <c r="C61" s="15" t="str">
        <f>"20190110628"</f>
        <v>20190110628</v>
      </c>
      <c r="D61" s="17" t="s">
        <v>12</v>
      </c>
    </row>
    <row r="62" spans="1:4" ht="21.75" customHeight="1">
      <c r="A62" s="15" t="s">
        <v>10</v>
      </c>
      <c r="B62" s="16" t="s">
        <v>11</v>
      </c>
      <c r="C62" s="15" t="str">
        <f>"20190110629"</f>
        <v>20190110629</v>
      </c>
      <c r="D62" s="17">
        <v>69.5</v>
      </c>
    </row>
    <row r="63" spans="1:4" ht="21.75" customHeight="1">
      <c r="A63" s="15" t="s">
        <v>10</v>
      </c>
      <c r="B63" s="16" t="s">
        <v>11</v>
      </c>
      <c r="C63" s="15" t="str">
        <f>"20190110630"</f>
        <v>20190110630</v>
      </c>
      <c r="D63" s="17">
        <v>59.5</v>
      </c>
    </row>
    <row r="64" spans="1:4" ht="21.75" customHeight="1">
      <c r="A64" s="15" t="s">
        <v>10</v>
      </c>
      <c r="B64" s="16" t="s">
        <v>11</v>
      </c>
      <c r="C64" s="15" t="str">
        <f>"20190110701"</f>
        <v>20190110701</v>
      </c>
      <c r="D64" s="17">
        <v>56</v>
      </c>
    </row>
    <row r="65" spans="1:4" ht="21.75" customHeight="1">
      <c r="A65" s="15" t="s">
        <v>10</v>
      </c>
      <c r="B65" s="16" t="s">
        <v>11</v>
      </c>
      <c r="C65" s="15" t="str">
        <f>"20190110702"</f>
        <v>20190110702</v>
      </c>
      <c r="D65" s="17" t="s">
        <v>12</v>
      </c>
    </row>
    <row r="66" spans="1:4" ht="21.75" customHeight="1">
      <c r="A66" s="15" t="s">
        <v>10</v>
      </c>
      <c r="B66" s="16" t="s">
        <v>11</v>
      </c>
      <c r="C66" s="15" t="str">
        <f>"20190110703"</f>
        <v>20190110703</v>
      </c>
      <c r="D66" s="17">
        <v>58.5</v>
      </c>
    </row>
    <row r="67" spans="1:4" ht="21.75" customHeight="1">
      <c r="A67" s="15" t="s">
        <v>10</v>
      </c>
      <c r="B67" s="16" t="s">
        <v>11</v>
      </c>
      <c r="C67" s="15" t="str">
        <f>"20190110704"</f>
        <v>20190110704</v>
      </c>
      <c r="D67" s="17" t="s">
        <v>12</v>
      </c>
    </row>
    <row r="68" spans="1:4" ht="21.75" customHeight="1">
      <c r="A68" s="15" t="s">
        <v>10</v>
      </c>
      <c r="B68" s="16" t="s">
        <v>11</v>
      </c>
      <c r="C68" s="15" t="str">
        <f>"20190110705"</f>
        <v>20190110705</v>
      </c>
      <c r="D68" s="17" t="s">
        <v>12</v>
      </c>
    </row>
    <row r="69" spans="1:4" ht="21.75" customHeight="1">
      <c r="A69" s="15" t="s">
        <v>10</v>
      </c>
      <c r="B69" s="16" t="s">
        <v>11</v>
      </c>
      <c r="C69" s="15" t="str">
        <f>"20190110706"</f>
        <v>20190110706</v>
      </c>
      <c r="D69" s="17">
        <v>56</v>
      </c>
    </row>
    <row r="70" spans="1:4" ht="21.75" customHeight="1">
      <c r="A70" s="15" t="s">
        <v>10</v>
      </c>
      <c r="B70" s="16" t="s">
        <v>11</v>
      </c>
      <c r="C70" s="15" t="str">
        <f>"20190110707"</f>
        <v>20190110707</v>
      </c>
      <c r="D70" s="17" t="s">
        <v>12</v>
      </c>
    </row>
    <row r="71" spans="1:4" ht="21.75" customHeight="1">
      <c r="A71" s="15" t="s">
        <v>10</v>
      </c>
      <c r="B71" s="16" t="s">
        <v>11</v>
      </c>
      <c r="C71" s="15" t="str">
        <f>"20190110708"</f>
        <v>20190110708</v>
      </c>
      <c r="D71" s="17">
        <v>54.5</v>
      </c>
    </row>
    <row r="72" spans="1:4" ht="21.75" customHeight="1">
      <c r="A72" s="15" t="s">
        <v>13</v>
      </c>
      <c r="B72" s="16" t="s">
        <v>14</v>
      </c>
      <c r="C72" s="15" t="str">
        <f>"20190118920"</f>
        <v>20190118920</v>
      </c>
      <c r="D72" s="17">
        <v>57</v>
      </c>
    </row>
    <row r="73" spans="1:4" ht="21.75" customHeight="1">
      <c r="A73" s="15" t="s">
        <v>13</v>
      </c>
      <c r="B73" s="16" t="s">
        <v>14</v>
      </c>
      <c r="C73" s="15" t="str">
        <f>"20190118921"</f>
        <v>20190118921</v>
      </c>
      <c r="D73" s="17">
        <v>57</v>
      </c>
    </row>
    <row r="74" spans="1:4" ht="21.75" customHeight="1">
      <c r="A74" s="15" t="s">
        <v>13</v>
      </c>
      <c r="B74" s="16" t="s">
        <v>14</v>
      </c>
      <c r="C74" s="15" t="str">
        <f>"20190118922"</f>
        <v>20190118922</v>
      </c>
      <c r="D74" s="17">
        <v>56</v>
      </c>
    </row>
    <row r="75" spans="1:4" ht="21.75" customHeight="1">
      <c r="A75" s="15" t="s">
        <v>13</v>
      </c>
      <c r="B75" s="16" t="s">
        <v>14</v>
      </c>
      <c r="C75" s="15" t="str">
        <f>"20190118923"</f>
        <v>20190118923</v>
      </c>
      <c r="D75" s="17">
        <v>56</v>
      </c>
    </row>
    <row r="76" spans="1:4" ht="21.75" customHeight="1">
      <c r="A76" s="15" t="s">
        <v>13</v>
      </c>
      <c r="B76" s="16" t="s">
        <v>14</v>
      </c>
      <c r="C76" s="15" t="str">
        <f>"20190118924"</f>
        <v>20190118924</v>
      </c>
      <c r="D76" s="17">
        <v>53</v>
      </c>
    </row>
    <row r="77" spans="1:4" ht="21.75" customHeight="1">
      <c r="A77" s="15" t="s">
        <v>13</v>
      </c>
      <c r="B77" s="16" t="s">
        <v>14</v>
      </c>
      <c r="C77" s="15" t="str">
        <f>"20190118925"</f>
        <v>20190118925</v>
      </c>
      <c r="D77" s="17">
        <v>48</v>
      </c>
    </row>
    <row r="78" spans="1:4" ht="21.75" customHeight="1">
      <c r="A78" s="15" t="s">
        <v>13</v>
      </c>
      <c r="B78" s="16" t="s">
        <v>14</v>
      </c>
      <c r="C78" s="15" t="str">
        <f>"20190118926"</f>
        <v>20190118926</v>
      </c>
      <c r="D78" s="17">
        <v>60.5</v>
      </c>
    </row>
    <row r="79" spans="1:4" ht="21.75" customHeight="1">
      <c r="A79" s="15" t="s">
        <v>13</v>
      </c>
      <c r="B79" s="16" t="s">
        <v>14</v>
      </c>
      <c r="C79" s="15" t="str">
        <f>"20190118927"</f>
        <v>20190118927</v>
      </c>
      <c r="D79" s="17">
        <v>63.5</v>
      </c>
    </row>
    <row r="80" spans="1:4" ht="21.75" customHeight="1">
      <c r="A80" s="15" t="s">
        <v>13</v>
      </c>
      <c r="B80" s="16" t="s">
        <v>14</v>
      </c>
      <c r="C80" s="15" t="str">
        <f>"20190118928"</f>
        <v>20190118928</v>
      </c>
      <c r="D80" s="17">
        <v>61</v>
      </c>
    </row>
    <row r="81" spans="1:5" ht="21.75" customHeight="1">
      <c r="A81" s="15" t="s">
        <v>13</v>
      </c>
      <c r="B81" s="16" t="s">
        <v>14</v>
      </c>
      <c r="C81" s="15" t="str">
        <f>"20190118929"</f>
        <v>20190118929</v>
      </c>
      <c r="D81" s="17">
        <v>63.5</v>
      </c>
      <c r="E81" s="19"/>
    </row>
    <row r="82" spans="1:5" ht="21.75" customHeight="1">
      <c r="A82" s="15" t="s">
        <v>13</v>
      </c>
      <c r="B82" s="16" t="s">
        <v>14</v>
      </c>
      <c r="C82" s="15" t="str">
        <f>"20190118930"</f>
        <v>20190118930</v>
      </c>
      <c r="D82" s="17">
        <v>63</v>
      </c>
      <c r="E82" s="19"/>
    </row>
    <row r="83" spans="1:5" ht="21.75" customHeight="1">
      <c r="A83" s="15" t="s">
        <v>13</v>
      </c>
      <c r="B83" s="16" t="s">
        <v>14</v>
      </c>
      <c r="C83" s="15" t="str">
        <f>"20190119001"</f>
        <v>20190119001</v>
      </c>
      <c r="D83" s="17">
        <v>63</v>
      </c>
      <c r="E83" s="19"/>
    </row>
    <row r="84" spans="1:4" ht="21.75" customHeight="1">
      <c r="A84" s="15" t="s">
        <v>13</v>
      </c>
      <c r="B84" s="16" t="s">
        <v>14</v>
      </c>
      <c r="C84" s="15" t="str">
        <f>"20190119002"</f>
        <v>20190119002</v>
      </c>
      <c r="D84" s="17" t="s">
        <v>12</v>
      </c>
    </row>
    <row r="85" spans="1:4" ht="21.75" customHeight="1">
      <c r="A85" s="15" t="s">
        <v>13</v>
      </c>
      <c r="B85" s="16" t="s">
        <v>14</v>
      </c>
      <c r="C85" s="15" t="str">
        <f>"20190119003"</f>
        <v>20190119003</v>
      </c>
      <c r="D85" s="17">
        <v>53</v>
      </c>
    </row>
    <row r="86" spans="1:4" ht="21.75" customHeight="1">
      <c r="A86" s="15" t="s">
        <v>13</v>
      </c>
      <c r="B86" s="16" t="s">
        <v>14</v>
      </c>
      <c r="C86" s="15" t="str">
        <f>"20190119004"</f>
        <v>20190119004</v>
      </c>
      <c r="D86" s="17">
        <v>57</v>
      </c>
    </row>
    <row r="87" spans="1:4" ht="21.75" customHeight="1">
      <c r="A87" s="15" t="s">
        <v>13</v>
      </c>
      <c r="B87" s="16" t="s">
        <v>14</v>
      </c>
      <c r="C87" s="15" t="str">
        <f>"20190119005"</f>
        <v>20190119005</v>
      </c>
      <c r="D87" s="17">
        <v>52</v>
      </c>
    </row>
    <row r="88" spans="1:5" ht="21.75" customHeight="1">
      <c r="A88" s="15" t="s">
        <v>13</v>
      </c>
      <c r="B88" s="16" t="s">
        <v>14</v>
      </c>
      <c r="C88" s="15" t="str">
        <f>"20190119006"</f>
        <v>20190119006</v>
      </c>
      <c r="D88" s="17">
        <v>72</v>
      </c>
      <c r="E88" s="18" t="s">
        <v>9</v>
      </c>
    </row>
    <row r="89" spans="1:5" ht="21.75" customHeight="1">
      <c r="A89" s="15" t="s">
        <v>13</v>
      </c>
      <c r="B89" s="16" t="s">
        <v>14</v>
      </c>
      <c r="C89" s="15" t="str">
        <f>"20190119007"</f>
        <v>20190119007</v>
      </c>
      <c r="D89" s="17">
        <v>66.5</v>
      </c>
      <c r="E89" s="18" t="s">
        <v>9</v>
      </c>
    </row>
    <row r="90" spans="1:4" ht="21.75" customHeight="1">
      <c r="A90" s="15" t="s">
        <v>13</v>
      </c>
      <c r="B90" s="16" t="s">
        <v>14</v>
      </c>
      <c r="C90" s="15" t="str">
        <f>"20190119008"</f>
        <v>20190119008</v>
      </c>
      <c r="D90" s="17">
        <v>57</v>
      </c>
    </row>
    <row r="91" spans="1:4" ht="21.75" customHeight="1">
      <c r="A91" s="15" t="s">
        <v>13</v>
      </c>
      <c r="B91" s="16" t="s">
        <v>14</v>
      </c>
      <c r="C91" s="15" t="str">
        <f>"20190119009"</f>
        <v>20190119009</v>
      </c>
      <c r="D91" s="17">
        <v>48</v>
      </c>
    </row>
    <row r="92" spans="1:4" ht="21.75" customHeight="1">
      <c r="A92" s="15" t="s">
        <v>13</v>
      </c>
      <c r="B92" s="16" t="s">
        <v>14</v>
      </c>
      <c r="C92" s="15" t="str">
        <f>"20190119010"</f>
        <v>20190119010</v>
      </c>
      <c r="D92" s="17">
        <v>57.5</v>
      </c>
    </row>
    <row r="93" spans="1:4" ht="21.75" customHeight="1">
      <c r="A93" s="15" t="s">
        <v>13</v>
      </c>
      <c r="B93" s="16" t="s">
        <v>14</v>
      </c>
      <c r="C93" s="15" t="str">
        <f>"20190119011"</f>
        <v>20190119011</v>
      </c>
      <c r="D93" s="17" t="s">
        <v>12</v>
      </c>
    </row>
    <row r="94" spans="1:4" ht="21.75" customHeight="1">
      <c r="A94" s="15" t="s">
        <v>13</v>
      </c>
      <c r="B94" s="16" t="s">
        <v>14</v>
      </c>
      <c r="C94" s="15" t="str">
        <f>"20190119012"</f>
        <v>20190119012</v>
      </c>
      <c r="D94" s="17">
        <v>59</v>
      </c>
    </row>
    <row r="95" spans="1:4" ht="21.75" customHeight="1">
      <c r="A95" s="15" t="s">
        <v>13</v>
      </c>
      <c r="B95" s="16" t="s">
        <v>14</v>
      </c>
      <c r="C95" s="15" t="str">
        <f>"20190119013"</f>
        <v>20190119013</v>
      </c>
      <c r="D95" s="17">
        <v>62</v>
      </c>
    </row>
    <row r="96" spans="1:4" ht="21.75" customHeight="1">
      <c r="A96" s="15" t="s">
        <v>13</v>
      </c>
      <c r="B96" s="16" t="s">
        <v>14</v>
      </c>
      <c r="C96" s="15" t="str">
        <f>"20190119014"</f>
        <v>20190119014</v>
      </c>
      <c r="D96" s="17">
        <v>61</v>
      </c>
    </row>
    <row r="97" spans="1:5" ht="21.75" customHeight="1">
      <c r="A97" s="15" t="s">
        <v>13</v>
      </c>
      <c r="B97" s="16" t="s">
        <v>14</v>
      </c>
      <c r="C97" s="15" t="str">
        <f>"20190119015"</f>
        <v>20190119015</v>
      </c>
      <c r="D97" s="17">
        <v>67</v>
      </c>
      <c r="E97" s="18" t="s">
        <v>9</v>
      </c>
    </row>
    <row r="98" spans="1:4" ht="21.75" customHeight="1">
      <c r="A98" s="15" t="s">
        <v>13</v>
      </c>
      <c r="B98" s="16" t="s">
        <v>14</v>
      </c>
      <c r="C98" s="15" t="str">
        <f>"20190119016"</f>
        <v>20190119016</v>
      </c>
      <c r="D98" s="17">
        <v>62.5</v>
      </c>
    </row>
    <row r="99" spans="1:4" ht="21.75" customHeight="1">
      <c r="A99" s="15" t="s">
        <v>13</v>
      </c>
      <c r="B99" s="16" t="s">
        <v>14</v>
      </c>
      <c r="C99" s="15" t="str">
        <f>"20190119017"</f>
        <v>20190119017</v>
      </c>
      <c r="D99" s="17">
        <v>58</v>
      </c>
    </row>
    <row r="100" spans="1:4" ht="21.75" customHeight="1">
      <c r="A100" s="15" t="s">
        <v>13</v>
      </c>
      <c r="B100" s="16" t="s">
        <v>14</v>
      </c>
      <c r="C100" s="15" t="str">
        <f>"20190119018"</f>
        <v>20190119018</v>
      </c>
      <c r="D100" s="17">
        <v>64</v>
      </c>
    </row>
    <row r="101" spans="1:4" ht="21.75" customHeight="1">
      <c r="A101" s="15" t="s">
        <v>15</v>
      </c>
      <c r="B101" s="16" t="s">
        <v>16</v>
      </c>
      <c r="C101" s="15" t="str">
        <f>"20190110709"</f>
        <v>20190110709</v>
      </c>
      <c r="D101" s="17">
        <v>61</v>
      </c>
    </row>
    <row r="102" spans="1:4" ht="21.75" customHeight="1">
      <c r="A102" s="15" t="s">
        <v>15</v>
      </c>
      <c r="B102" s="16" t="s">
        <v>16</v>
      </c>
      <c r="C102" s="15" t="str">
        <f>"20190110710"</f>
        <v>20190110710</v>
      </c>
      <c r="D102" s="17">
        <v>57</v>
      </c>
    </row>
    <row r="103" spans="1:4" ht="21.75" customHeight="1">
      <c r="A103" s="15" t="s">
        <v>15</v>
      </c>
      <c r="B103" s="16" t="s">
        <v>16</v>
      </c>
      <c r="C103" s="15" t="str">
        <f>"20190110711"</f>
        <v>20190110711</v>
      </c>
      <c r="D103" s="17">
        <v>57</v>
      </c>
    </row>
    <row r="104" spans="1:4" ht="21.75" customHeight="1">
      <c r="A104" s="15" t="s">
        <v>15</v>
      </c>
      <c r="B104" s="16" t="s">
        <v>16</v>
      </c>
      <c r="C104" s="15" t="str">
        <f>"20190110712"</f>
        <v>20190110712</v>
      </c>
      <c r="D104" s="17">
        <v>62</v>
      </c>
    </row>
    <row r="105" spans="1:4" ht="21.75" customHeight="1">
      <c r="A105" s="15" t="s">
        <v>15</v>
      </c>
      <c r="B105" s="16" t="s">
        <v>16</v>
      </c>
      <c r="C105" s="15" t="str">
        <f>"20190110713"</f>
        <v>20190110713</v>
      </c>
      <c r="D105" s="17">
        <v>57.5</v>
      </c>
    </row>
    <row r="106" spans="1:4" ht="21.75" customHeight="1">
      <c r="A106" s="15" t="s">
        <v>15</v>
      </c>
      <c r="B106" s="16" t="s">
        <v>16</v>
      </c>
      <c r="C106" s="15" t="str">
        <f>"20190110714"</f>
        <v>20190110714</v>
      </c>
      <c r="D106" s="17">
        <v>65.5</v>
      </c>
    </row>
    <row r="107" spans="1:4" ht="21.75" customHeight="1">
      <c r="A107" s="15" t="s">
        <v>15</v>
      </c>
      <c r="B107" s="16" t="s">
        <v>16</v>
      </c>
      <c r="C107" s="15" t="str">
        <f>"20190110715"</f>
        <v>20190110715</v>
      </c>
      <c r="D107" s="17">
        <v>64.5</v>
      </c>
    </row>
    <row r="108" spans="1:4" ht="21.75" customHeight="1">
      <c r="A108" s="15" t="s">
        <v>15</v>
      </c>
      <c r="B108" s="16" t="s">
        <v>16</v>
      </c>
      <c r="C108" s="15" t="str">
        <f>"20190110716"</f>
        <v>20190110716</v>
      </c>
      <c r="D108" s="17">
        <v>56.5</v>
      </c>
    </row>
    <row r="109" spans="1:5" ht="21.75" customHeight="1">
      <c r="A109" s="15" t="s">
        <v>15</v>
      </c>
      <c r="B109" s="16" t="s">
        <v>16</v>
      </c>
      <c r="C109" s="15" t="str">
        <f>"20190110717"</f>
        <v>20190110717</v>
      </c>
      <c r="D109" s="17">
        <v>67</v>
      </c>
      <c r="E109" s="18" t="s">
        <v>9</v>
      </c>
    </row>
    <row r="110" spans="1:4" ht="21.75" customHeight="1">
      <c r="A110" s="15" t="s">
        <v>15</v>
      </c>
      <c r="B110" s="16" t="s">
        <v>16</v>
      </c>
      <c r="C110" s="15" t="str">
        <f>"20190110718"</f>
        <v>20190110718</v>
      </c>
      <c r="D110" s="17" t="s">
        <v>12</v>
      </c>
    </row>
    <row r="111" spans="1:4" ht="21.75" customHeight="1">
      <c r="A111" s="15" t="s">
        <v>15</v>
      </c>
      <c r="B111" s="16" t="s">
        <v>16</v>
      </c>
      <c r="C111" s="15" t="str">
        <f>"20190110719"</f>
        <v>20190110719</v>
      </c>
      <c r="D111" s="17" t="s">
        <v>12</v>
      </c>
    </row>
    <row r="112" spans="1:5" ht="21.75" customHeight="1">
      <c r="A112" s="15" t="s">
        <v>15</v>
      </c>
      <c r="B112" s="16" t="s">
        <v>16</v>
      </c>
      <c r="C112" s="15" t="str">
        <f>"20190110720"</f>
        <v>20190110720</v>
      </c>
      <c r="D112" s="17">
        <v>72.5</v>
      </c>
      <c r="E112" s="18" t="s">
        <v>9</v>
      </c>
    </row>
    <row r="113" spans="1:4" ht="21.75" customHeight="1">
      <c r="A113" s="15" t="s">
        <v>15</v>
      </c>
      <c r="B113" s="16" t="s">
        <v>16</v>
      </c>
      <c r="C113" s="15" t="str">
        <f>"20190110721"</f>
        <v>20190110721</v>
      </c>
      <c r="D113" s="17">
        <v>51.5</v>
      </c>
    </row>
    <row r="114" spans="1:4" ht="21.75" customHeight="1">
      <c r="A114" s="15" t="s">
        <v>15</v>
      </c>
      <c r="B114" s="16" t="s">
        <v>16</v>
      </c>
      <c r="C114" s="15" t="str">
        <f>"20190110722"</f>
        <v>20190110722</v>
      </c>
      <c r="D114" s="17">
        <v>63.5</v>
      </c>
    </row>
    <row r="115" spans="1:4" ht="21.75" customHeight="1">
      <c r="A115" s="15" t="s">
        <v>15</v>
      </c>
      <c r="B115" s="16" t="s">
        <v>16</v>
      </c>
      <c r="C115" s="15" t="str">
        <f>"20190110723"</f>
        <v>20190110723</v>
      </c>
      <c r="D115" s="17">
        <v>65.5</v>
      </c>
    </row>
    <row r="116" spans="1:4" ht="21.75" customHeight="1">
      <c r="A116" s="15" t="s">
        <v>15</v>
      </c>
      <c r="B116" s="16" t="s">
        <v>16</v>
      </c>
      <c r="C116" s="15" t="str">
        <f>"20190110724"</f>
        <v>20190110724</v>
      </c>
      <c r="D116" s="17">
        <v>61</v>
      </c>
    </row>
    <row r="117" spans="1:4" ht="21.75" customHeight="1">
      <c r="A117" s="15" t="s">
        <v>15</v>
      </c>
      <c r="B117" s="16" t="s">
        <v>16</v>
      </c>
      <c r="C117" s="15" t="str">
        <f>"20190110725"</f>
        <v>20190110725</v>
      </c>
      <c r="D117" s="17">
        <v>54.5</v>
      </c>
    </row>
    <row r="118" spans="1:4" ht="21.75" customHeight="1">
      <c r="A118" s="15" t="s">
        <v>15</v>
      </c>
      <c r="B118" s="16" t="s">
        <v>16</v>
      </c>
      <c r="C118" s="15" t="str">
        <f>"20190110726"</f>
        <v>20190110726</v>
      </c>
      <c r="D118" s="17">
        <v>56</v>
      </c>
    </row>
    <row r="119" spans="1:4" ht="21.75" customHeight="1">
      <c r="A119" s="15" t="s">
        <v>15</v>
      </c>
      <c r="B119" s="16" t="s">
        <v>16</v>
      </c>
      <c r="C119" s="15" t="str">
        <f>"20190110727"</f>
        <v>20190110727</v>
      </c>
      <c r="D119" s="17">
        <v>61</v>
      </c>
    </row>
    <row r="120" spans="1:5" ht="21.75" customHeight="1">
      <c r="A120" s="15" t="s">
        <v>15</v>
      </c>
      <c r="B120" s="16" t="s">
        <v>16</v>
      </c>
      <c r="C120" s="15" t="str">
        <f>"20190110728"</f>
        <v>20190110728</v>
      </c>
      <c r="D120" s="17">
        <v>71.5</v>
      </c>
      <c r="E120" s="18" t="s">
        <v>9</v>
      </c>
    </row>
    <row r="121" spans="1:4" ht="21.75" customHeight="1">
      <c r="A121" s="15" t="s">
        <v>15</v>
      </c>
      <c r="B121" s="16" t="s">
        <v>16</v>
      </c>
      <c r="C121" s="15" t="str">
        <f>"20190110729"</f>
        <v>20190110729</v>
      </c>
      <c r="D121" s="17">
        <v>56</v>
      </c>
    </row>
    <row r="122" spans="1:4" ht="21.75" customHeight="1">
      <c r="A122" s="15" t="s">
        <v>15</v>
      </c>
      <c r="B122" s="16" t="s">
        <v>16</v>
      </c>
      <c r="C122" s="15" t="str">
        <f>"20190110730"</f>
        <v>20190110730</v>
      </c>
      <c r="D122" s="17" t="s">
        <v>12</v>
      </c>
    </row>
    <row r="123" spans="1:4" ht="21.75" customHeight="1">
      <c r="A123" s="15" t="s">
        <v>17</v>
      </c>
      <c r="B123" s="16" t="s">
        <v>18</v>
      </c>
      <c r="C123" s="15" t="str">
        <f>"20190110801"</f>
        <v>20190110801</v>
      </c>
      <c r="D123" s="17">
        <v>60.5</v>
      </c>
    </row>
    <row r="124" spans="1:4" ht="21.75" customHeight="1">
      <c r="A124" s="15" t="s">
        <v>17</v>
      </c>
      <c r="B124" s="16" t="s">
        <v>18</v>
      </c>
      <c r="C124" s="15" t="str">
        <f>"20190110802"</f>
        <v>20190110802</v>
      </c>
      <c r="D124" s="17">
        <v>64</v>
      </c>
    </row>
    <row r="125" spans="1:4" ht="21.75" customHeight="1">
      <c r="A125" s="15" t="s">
        <v>17</v>
      </c>
      <c r="B125" s="16" t="s">
        <v>18</v>
      </c>
      <c r="C125" s="15" t="str">
        <f>"20190110803"</f>
        <v>20190110803</v>
      </c>
      <c r="D125" s="17">
        <v>53</v>
      </c>
    </row>
    <row r="126" spans="1:4" ht="21.75" customHeight="1">
      <c r="A126" s="15" t="s">
        <v>17</v>
      </c>
      <c r="B126" s="16" t="s">
        <v>18</v>
      </c>
      <c r="C126" s="15" t="str">
        <f>"20190110804"</f>
        <v>20190110804</v>
      </c>
      <c r="D126" s="17">
        <v>51</v>
      </c>
    </row>
    <row r="127" spans="1:4" ht="21.75" customHeight="1">
      <c r="A127" s="15" t="s">
        <v>17</v>
      </c>
      <c r="B127" s="16" t="s">
        <v>18</v>
      </c>
      <c r="C127" s="15" t="str">
        <f>"20190110805"</f>
        <v>20190110805</v>
      </c>
      <c r="D127" s="17">
        <v>65</v>
      </c>
    </row>
    <row r="128" spans="1:4" ht="21.75" customHeight="1">
      <c r="A128" s="15" t="s">
        <v>17</v>
      </c>
      <c r="B128" s="16" t="s">
        <v>18</v>
      </c>
      <c r="C128" s="15" t="str">
        <f>"20190110806"</f>
        <v>20190110806</v>
      </c>
      <c r="D128" s="17">
        <v>68.5</v>
      </c>
    </row>
    <row r="129" spans="1:4" ht="21.75" customHeight="1">
      <c r="A129" s="15" t="s">
        <v>17</v>
      </c>
      <c r="B129" s="16" t="s">
        <v>18</v>
      </c>
      <c r="C129" s="15" t="str">
        <f>"20190110807"</f>
        <v>20190110807</v>
      </c>
      <c r="D129" s="17">
        <v>56</v>
      </c>
    </row>
    <row r="130" spans="1:4" ht="21.75" customHeight="1">
      <c r="A130" s="15" t="s">
        <v>17</v>
      </c>
      <c r="B130" s="16" t="s">
        <v>18</v>
      </c>
      <c r="C130" s="15" t="str">
        <f>"20190110808"</f>
        <v>20190110808</v>
      </c>
      <c r="D130" s="17">
        <v>60</v>
      </c>
    </row>
    <row r="131" spans="1:4" ht="21.75" customHeight="1">
      <c r="A131" s="15" t="s">
        <v>17</v>
      </c>
      <c r="B131" s="16" t="s">
        <v>18</v>
      </c>
      <c r="C131" s="15" t="str">
        <f>"20190110809"</f>
        <v>20190110809</v>
      </c>
      <c r="D131" s="17">
        <v>49.5</v>
      </c>
    </row>
    <row r="132" spans="1:5" ht="21.75" customHeight="1">
      <c r="A132" s="15" t="s">
        <v>17</v>
      </c>
      <c r="B132" s="16" t="s">
        <v>18</v>
      </c>
      <c r="C132" s="15" t="str">
        <f>"20190110810"</f>
        <v>20190110810</v>
      </c>
      <c r="D132" s="17">
        <v>71.5</v>
      </c>
      <c r="E132" s="18" t="s">
        <v>9</v>
      </c>
    </row>
    <row r="133" spans="1:4" ht="21.75" customHeight="1">
      <c r="A133" s="15" t="s">
        <v>17</v>
      </c>
      <c r="B133" s="16" t="s">
        <v>18</v>
      </c>
      <c r="C133" s="15" t="str">
        <f>"20190110811"</f>
        <v>20190110811</v>
      </c>
      <c r="D133" s="17">
        <v>63</v>
      </c>
    </row>
    <row r="134" spans="1:4" ht="21.75" customHeight="1">
      <c r="A134" s="15" t="s">
        <v>17</v>
      </c>
      <c r="B134" s="16" t="s">
        <v>18</v>
      </c>
      <c r="C134" s="15" t="str">
        <f>"20190110812"</f>
        <v>20190110812</v>
      </c>
      <c r="D134" s="17">
        <v>57.5</v>
      </c>
    </row>
    <row r="135" spans="1:4" ht="21.75" customHeight="1">
      <c r="A135" s="15" t="s">
        <v>17</v>
      </c>
      <c r="B135" s="16" t="s">
        <v>18</v>
      </c>
      <c r="C135" s="15" t="str">
        <f>"20190110813"</f>
        <v>20190110813</v>
      </c>
      <c r="D135" s="17">
        <v>69</v>
      </c>
    </row>
    <row r="136" spans="1:4" ht="21.75" customHeight="1">
      <c r="A136" s="15" t="s">
        <v>17</v>
      </c>
      <c r="B136" s="16" t="s">
        <v>18</v>
      </c>
      <c r="C136" s="15" t="str">
        <f>"20190110814"</f>
        <v>20190110814</v>
      </c>
      <c r="D136" s="17" t="s">
        <v>12</v>
      </c>
    </row>
    <row r="137" spans="1:4" ht="21.75" customHeight="1">
      <c r="A137" s="15" t="s">
        <v>17</v>
      </c>
      <c r="B137" s="16" t="s">
        <v>18</v>
      </c>
      <c r="C137" s="15" t="str">
        <f>"20190110815"</f>
        <v>20190110815</v>
      </c>
      <c r="D137" s="17">
        <v>52</v>
      </c>
    </row>
    <row r="138" spans="1:4" ht="21.75" customHeight="1">
      <c r="A138" s="15" t="s">
        <v>17</v>
      </c>
      <c r="B138" s="16" t="s">
        <v>18</v>
      </c>
      <c r="C138" s="15" t="str">
        <f>"20190110816"</f>
        <v>20190110816</v>
      </c>
      <c r="D138" s="17">
        <v>56</v>
      </c>
    </row>
    <row r="139" spans="1:5" ht="21.75" customHeight="1">
      <c r="A139" s="15" t="s">
        <v>17</v>
      </c>
      <c r="B139" s="16" t="s">
        <v>18</v>
      </c>
      <c r="C139" s="15" t="str">
        <f>"20190110817"</f>
        <v>20190110817</v>
      </c>
      <c r="D139" s="17">
        <v>69.5</v>
      </c>
      <c r="E139" s="18" t="s">
        <v>9</v>
      </c>
    </row>
    <row r="140" spans="1:4" ht="21.75" customHeight="1">
      <c r="A140" s="15" t="s">
        <v>17</v>
      </c>
      <c r="B140" s="16" t="s">
        <v>18</v>
      </c>
      <c r="C140" s="15" t="str">
        <f>"20190110818"</f>
        <v>20190110818</v>
      </c>
      <c r="D140" s="17">
        <v>63</v>
      </c>
    </row>
    <row r="141" spans="1:4" ht="21.75" customHeight="1">
      <c r="A141" s="15" t="s">
        <v>17</v>
      </c>
      <c r="B141" s="16" t="s">
        <v>18</v>
      </c>
      <c r="C141" s="15" t="str">
        <f>"20190110819"</f>
        <v>20190110819</v>
      </c>
      <c r="D141" s="17">
        <v>58</v>
      </c>
    </row>
    <row r="142" spans="1:4" ht="21.75" customHeight="1">
      <c r="A142" s="15" t="s">
        <v>17</v>
      </c>
      <c r="B142" s="16" t="s">
        <v>18</v>
      </c>
      <c r="C142" s="15" t="str">
        <f>"20190110820"</f>
        <v>20190110820</v>
      </c>
      <c r="D142" s="17">
        <v>67</v>
      </c>
    </row>
    <row r="143" spans="1:4" ht="21.75" customHeight="1">
      <c r="A143" s="15" t="s">
        <v>17</v>
      </c>
      <c r="B143" s="16" t="s">
        <v>18</v>
      </c>
      <c r="C143" s="15" t="str">
        <f>"20190110821"</f>
        <v>20190110821</v>
      </c>
      <c r="D143" s="17" t="s">
        <v>12</v>
      </c>
    </row>
    <row r="144" spans="1:5" ht="21.75" customHeight="1">
      <c r="A144" s="15" t="s">
        <v>17</v>
      </c>
      <c r="B144" s="16" t="s">
        <v>18</v>
      </c>
      <c r="C144" s="15" t="str">
        <f>"20190110822"</f>
        <v>20190110822</v>
      </c>
      <c r="D144" s="17">
        <v>72</v>
      </c>
      <c r="E144" s="18" t="s">
        <v>9</v>
      </c>
    </row>
    <row r="145" spans="1:4" ht="21.75" customHeight="1">
      <c r="A145" s="15" t="s">
        <v>17</v>
      </c>
      <c r="B145" s="16" t="s">
        <v>18</v>
      </c>
      <c r="C145" s="15" t="str">
        <f>"20190110823"</f>
        <v>20190110823</v>
      </c>
      <c r="D145" s="17">
        <v>64.5</v>
      </c>
    </row>
    <row r="146" spans="1:4" ht="21.75" customHeight="1">
      <c r="A146" s="15" t="s">
        <v>17</v>
      </c>
      <c r="B146" s="16" t="s">
        <v>18</v>
      </c>
      <c r="C146" s="15" t="str">
        <f>"20190110824"</f>
        <v>20190110824</v>
      </c>
      <c r="D146" s="17" t="s">
        <v>12</v>
      </c>
    </row>
    <row r="147" spans="1:4" ht="21.75" customHeight="1">
      <c r="A147" s="15" t="s">
        <v>17</v>
      </c>
      <c r="B147" s="16" t="s">
        <v>18</v>
      </c>
      <c r="C147" s="15" t="str">
        <f>"20190110825"</f>
        <v>20190110825</v>
      </c>
      <c r="D147" s="17">
        <v>61</v>
      </c>
    </row>
    <row r="148" spans="1:4" ht="21.75" customHeight="1">
      <c r="A148" s="15" t="s">
        <v>17</v>
      </c>
      <c r="B148" s="16" t="s">
        <v>18</v>
      </c>
      <c r="C148" s="15" t="str">
        <f>"20190110826"</f>
        <v>20190110826</v>
      </c>
      <c r="D148" s="17">
        <v>61.5</v>
      </c>
    </row>
    <row r="149" spans="1:4" ht="21.75" customHeight="1">
      <c r="A149" s="15" t="s">
        <v>17</v>
      </c>
      <c r="B149" s="16" t="s">
        <v>18</v>
      </c>
      <c r="C149" s="15" t="str">
        <f>"20190110827"</f>
        <v>20190110827</v>
      </c>
      <c r="D149" s="17">
        <v>64.5</v>
      </c>
    </row>
    <row r="150" spans="1:4" ht="21.75" customHeight="1">
      <c r="A150" s="15" t="s">
        <v>17</v>
      </c>
      <c r="B150" s="16" t="s">
        <v>18</v>
      </c>
      <c r="C150" s="15" t="str">
        <f>"20190110828"</f>
        <v>20190110828</v>
      </c>
      <c r="D150" s="17">
        <v>58.5</v>
      </c>
    </row>
    <row r="151" spans="1:4" ht="21.75" customHeight="1">
      <c r="A151" s="15" t="s">
        <v>17</v>
      </c>
      <c r="B151" s="16" t="s">
        <v>18</v>
      </c>
      <c r="C151" s="15" t="str">
        <f>"20190110829"</f>
        <v>20190110829</v>
      </c>
      <c r="D151" s="17">
        <v>55</v>
      </c>
    </row>
    <row r="152" spans="1:4" ht="21.75" customHeight="1">
      <c r="A152" s="15" t="s">
        <v>17</v>
      </c>
      <c r="B152" s="16" t="s">
        <v>18</v>
      </c>
      <c r="C152" s="15" t="str">
        <f>"20190110830"</f>
        <v>20190110830</v>
      </c>
      <c r="D152" s="17">
        <v>58</v>
      </c>
    </row>
    <row r="153" spans="1:4" ht="21.75" customHeight="1">
      <c r="A153" s="15" t="s">
        <v>17</v>
      </c>
      <c r="B153" s="16" t="s">
        <v>18</v>
      </c>
      <c r="C153" s="15" t="str">
        <f>"20190110901"</f>
        <v>20190110901</v>
      </c>
      <c r="D153" s="17">
        <v>64.5</v>
      </c>
    </row>
    <row r="154" spans="1:4" ht="21.75" customHeight="1">
      <c r="A154" s="15" t="s">
        <v>17</v>
      </c>
      <c r="B154" s="16" t="s">
        <v>18</v>
      </c>
      <c r="C154" s="15" t="str">
        <f>"20190110902"</f>
        <v>20190110902</v>
      </c>
      <c r="D154" s="17">
        <v>61.5</v>
      </c>
    </row>
    <row r="155" spans="1:4" ht="21.75" customHeight="1">
      <c r="A155" s="15" t="s">
        <v>17</v>
      </c>
      <c r="B155" s="16" t="s">
        <v>18</v>
      </c>
      <c r="C155" s="15" t="str">
        <f>"20190110903"</f>
        <v>20190110903</v>
      </c>
      <c r="D155" s="17">
        <v>37.5</v>
      </c>
    </row>
    <row r="156" spans="1:4" ht="21.75" customHeight="1">
      <c r="A156" s="15" t="s">
        <v>17</v>
      </c>
      <c r="B156" s="16" t="s">
        <v>18</v>
      </c>
      <c r="C156" s="15" t="str">
        <f>"20190110904"</f>
        <v>20190110904</v>
      </c>
      <c r="D156" s="17">
        <v>49</v>
      </c>
    </row>
    <row r="157" spans="1:4" ht="21.75" customHeight="1">
      <c r="A157" s="15" t="s">
        <v>17</v>
      </c>
      <c r="B157" s="16" t="s">
        <v>18</v>
      </c>
      <c r="C157" s="15" t="str">
        <f>"20190110905"</f>
        <v>20190110905</v>
      </c>
      <c r="D157" s="17">
        <v>52.5</v>
      </c>
    </row>
    <row r="158" spans="1:4" ht="21.75" customHeight="1">
      <c r="A158" s="15" t="s">
        <v>17</v>
      </c>
      <c r="B158" s="16" t="s">
        <v>18</v>
      </c>
      <c r="C158" s="15" t="str">
        <f>"20190110906"</f>
        <v>20190110906</v>
      </c>
      <c r="D158" s="17">
        <v>60.5</v>
      </c>
    </row>
    <row r="159" spans="1:4" ht="21.75" customHeight="1">
      <c r="A159" s="15" t="s">
        <v>17</v>
      </c>
      <c r="B159" s="16" t="s">
        <v>18</v>
      </c>
      <c r="C159" s="15" t="str">
        <f>"20190110907"</f>
        <v>20190110907</v>
      </c>
      <c r="D159" s="17">
        <v>53</v>
      </c>
    </row>
    <row r="160" spans="1:4" ht="21.75" customHeight="1">
      <c r="A160" s="15" t="s">
        <v>17</v>
      </c>
      <c r="B160" s="16" t="s">
        <v>18</v>
      </c>
      <c r="C160" s="15" t="str">
        <f>"20190110908"</f>
        <v>20190110908</v>
      </c>
      <c r="D160" s="17">
        <v>58.5</v>
      </c>
    </row>
    <row r="161" spans="1:4" ht="21.75" customHeight="1">
      <c r="A161" s="15" t="s">
        <v>17</v>
      </c>
      <c r="B161" s="16" t="s">
        <v>18</v>
      </c>
      <c r="C161" s="15" t="str">
        <f>"20190110909"</f>
        <v>20190110909</v>
      </c>
      <c r="D161" s="17">
        <v>62</v>
      </c>
    </row>
    <row r="162" spans="1:4" ht="21.75" customHeight="1">
      <c r="A162" s="15" t="s">
        <v>17</v>
      </c>
      <c r="B162" s="16" t="s">
        <v>18</v>
      </c>
      <c r="C162" s="15" t="str">
        <f>"20190110910"</f>
        <v>20190110910</v>
      </c>
      <c r="D162" s="17" t="s">
        <v>12</v>
      </c>
    </row>
    <row r="163" spans="1:4" ht="21.75" customHeight="1">
      <c r="A163" s="15" t="s">
        <v>17</v>
      </c>
      <c r="B163" s="16" t="s">
        <v>18</v>
      </c>
      <c r="C163" s="15" t="str">
        <f>"20190110911"</f>
        <v>20190110911</v>
      </c>
      <c r="D163" s="17" t="s">
        <v>12</v>
      </c>
    </row>
    <row r="164" spans="1:4" ht="21.75" customHeight="1">
      <c r="A164" s="15" t="s">
        <v>17</v>
      </c>
      <c r="B164" s="16" t="s">
        <v>18</v>
      </c>
      <c r="C164" s="15" t="str">
        <f>"20190110912"</f>
        <v>20190110912</v>
      </c>
      <c r="D164" s="17" t="s">
        <v>12</v>
      </c>
    </row>
    <row r="165" spans="1:4" ht="21.75" customHeight="1">
      <c r="A165" s="15" t="s">
        <v>17</v>
      </c>
      <c r="B165" s="16" t="s">
        <v>18</v>
      </c>
      <c r="C165" s="15" t="str">
        <f>"20190110913"</f>
        <v>20190110913</v>
      </c>
      <c r="D165" s="17" t="s">
        <v>12</v>
      </c>
    </row>
    <row r="166" spans="1:4" ht="21.75" customHeight="1">
      <c r="A166" s="15" t="s">
        <v>17</v>
      </c>
      <c r="B166" s="16" t="s">
        <v>18</v>
      </c>
      <c r="C166" s="15" t="str">
        <f>"20190110914"</f>
        <v>20190110914</v>
      </c>
      <c r="D166" s="17">
        <v>55.5</v>
      </c>
    </row>
    <row r="167" spans="1:4" ht="21.75" customHeight="1">
      <c r="A167" s="15" t="s">
        <v>17</v>
      </c>
      <c r="B167" s="16" t="s">
        <v>18</v>
      </c>
      <c r="C167" s="15" t="str">
        <f>"20190110915"</f>
        <v>20190110915</v>
      </c>
      <c r="D167" s="17">
        <v>61</v>
      </c>
    </row>
    <row r="168" spans="1:4" ht="21.75" customHeight="1">
      <c r="A168" s="15" t="s">
        <v>17</v>
      </c>
      <c r="B168" s="16" t="s">
        <v>18</v>
      </c>
      <c r="C168" s="15" t="str">
        <f>"20190110916"</f>
        <v>20190110916</v>
      </c>
      <c r="D168" s="17" t="s">
        <v>12</v>
      </c>
    </row>
    <row r="169" spans="1:4" ht="21.75" customHeight="1">
      <c r="A169" s="15" t="s">
        <v>17</v>
      </c>
      <c r="B169" s="16" t="s">
        <v>18</v>
      </c>
      <c r="C169" s="15" t="str">
        <f>"20190110917"</f>
        <v>20190110917</v>
      </c>
      <c r="D169" s="17">
        <v>60.5</v>
      </c>
    </row>
    <row r="170" spans="1:4" ht="21.75" customHeight="1">
      <c r="A170" s="15" t="s">
        <v>17</v>
      </c>
      <c r="B170" s="16" t="s">
        <v>18</v>
      </c>
      <c r="C170" s="15" t="str">
        <f>"20190110918"</f>
        <v>20190110918</v>
      </c>
      <c r="D170" s="17" t="s">
        <v>12</v>
      </c>
    </row>
    <row r="171" spans="1:5" ht="21.75" customHeight="1">
      <c r="A171" s="15" t="s">
        <v>17</v>
      </c>
      <c r="B171" s="16" t="s">
        <v>16</v>
      </c>
      <c r="C171" s="15" t="str">
        <f>"20190110919"</f>
        <v>20190110919</v>
      </c>
      <c r="D171" s="17">
        <v>72</v>
      </c>
      <c r="E171" s="18" t="s">
        <v>9</v>
      </c>
    </row>
    <row r="172" spans="1:4" ht="21.75" customHeight="1">
      <c r="A172" s="15" t="s">
        <v>17</v>
      </c>
      <c r="B172" s="16" t="s">
        <v>16</v>
      </c>
      <c r="C172" s="15" t="str">
        <f>"20190110920"</f>
        <v>20190110920</v>
      </c>
      <c r="D172" s="17">
        <v>58.5</v>
      </c>
    </row>
    <row r="173" spans="1:5" ht="21.75" customHeight="1">
      <c r="A173" s="15" t="s">
        <v>17</v>
      </c>
      <c r="B173" s="16" t="s">
        <v>16</v>
      </c>
      <c r="C173" s="15" t="str">
        <f>"20190110921"</f>
        <v>20190110921</v>
      </c>
      <c r="D173" s="17">
        <v>69</v>
      </c>
      <c r="E173" s="18" t="s">
        <v>9</v>
      </c>
    </row>
    <row r="174" spans="1:4" ht="21.75" customHeight="1">
      <c r="A174" s="15" t="s">
        <v>17</v>
      </c>
      <c r="B174" s="16" t="s">
        <v>16</v>
      </c>
      <c r="C174" s="15" t="str">
        <f>"20190110922"</f>
        <v>20190110922</v>
      </c>
      <c r="D174" s="17" t="s">
        <v>12</v>
      </c>
    </row>
    <row r="175" spans="1:5" ht="21.75" customHeight="1">
      <c r="A175" s="15" t="s">
        <v>17</v>
      </c>
      <c r="B175" s="16" t="s">
        <v>16</v>
      </c>
      <c r="C175" s="15" t="str">
        <f>"20190110923"</f>
        <v>20190110923</v>
      </c>
      <c r="D175" s="17">
        <v>69.5</v>
      </c>
      <c r="E175" s="18" t="s">
        <v>9</v>
      </c>
    </row>
    <row r="176" spans="1:4" ht="21.75" customHeight="1">
      <c r="A176" s="15" t="s">
        <v>17</v>
      </c>
      <c r="B176" s="16" t="s">
        <v>16</v>
      </c>
      <c r="C176" s="15" t="str">
        <f>"20190110924"</f>
        <v>20190110924</v>
      </c>
      <c r="D176" s="17">
        <v>63.5</v>
      </c>
    </row>
    <row r="177" spans="1:4" ht="21.75" customHeight="1">
      <c r="A177" s="15" t="s">
        <v>17</v>
      </c>
      <c r="B177" s="16" t="s">
        <v>16</v>
      </c>
      <c r="C177" s="15" t="str">
        <f>"20190110925"</f>
        <v>20190110925</v>
      </c>
      <c r="D177" s="17" t="s">
        <v>12</v>
      </c>
    </row>
    <row r="178" spans="1:4" ht="21.75" customHeight="1">
      <c r="A178" s="15" t="s">
        <v>17</v>
      </c>
      <c r="B178" s="16" t="s">
        <v>16</v>
      </c>
      <c r="C178" s="15" t="str">
        <f>"20190110926"</f>
        <v>20190110926</v>
      </c>
      <c r="D178" s="17">
        <v>61</v>
      </c>
    </row>
    <row r="179" spans="1:4" ht="21.75" customHeight="1">
      <c r="A179" s="15" t="s">
        <v>17</v>
      </c>
      <c r="B179" s="16" t="s">
        <v>16</v>
      </c>
      <c r="C179" s="15" t="str">
        <f>"20190110927"</f>
        <v>20190110927</v>
      </c>
      <c r="D179" s="17">
        <v>61</v>
      </c>
    </row>
    <row r="180" spans="1:4" ht="21.75" customHeight="1">
      <c r="A180" s="15" t="s">
        <v>17</v>
      </c>
      <c r="B180" s="16" t="s">
        <v>16</v>
      </c>
      <c r="C180" s="15" t="str">
        <f>"20190110928"</f>
        <v>20190110928</v>
      </c>
      <c r="D180" s="17">
        <v>66</v>
      </c>
    </row>
    <row r="181" spans="1:4" ht="21.75" customHeight="1">
      <c r="A181" s="15" t="s">
        <v>17</v>
      </c>
      <c r="B181" s="16" t="s">
        <v>16</v>
      </c>
      <c r="C181" s="15" t="str">
        <f>"20190110929"</f>
        <v>20190110929</v>
      </c>
      <c r="D181" s="17">
        <v>63</v>
      </c>
    </row>
    <row r="182" spans="1:4" ht="21.75" customHeight="1">
      <c r="A182" s="15" t="s">
        <v>17</v>
      </c>
      <c r="B182" s="16" t="s">
        <v>16</v>
      </c>
      <c r="C182" s="15" t="str">
        <f>"20190110930"</f>
        <v>20190110930</v>
      </c>
      <c r="D182" s="17">
        <v>63</v>
      </c>
    </row>
    <row r="183" spans="1:4" ht="21.75" customHeight="1">
      <c r="A183" s="15" t="s">
        <v>17</v>
      </c>
      <c r="B183" s="16" t="s">
        <v>16</v>
      </c>
      <c r="C183" s="15" t="str">
        <f>"20190111001"</f>
        <v>20190111001</v>
      </c>
      <c r="D183" s="17">
        <v>63.5</v>
      </c>
    </row>
    <row r="184" spans="1:4" ht="21.75" customHeight="1">
      <c r="A184" s="15" t="s">
        <v>17</v>
      </c>
      <c r="B184" s="16" t="s">
        <v>16</v>
      </c>
      <c r="C184" s="15" t="str">
        <f>"20190111002"</f>
        <v>20190111002</v>
      </c>
      <c r="D184" s="17">
        <v>62</v>
      </c>
    </row>
    <row r="185" spans="1:4" ht="21.75" customHeight="1">
      <c r="A185" s="15" t="s">
        <v>17</v>
      </c>
      <c r="B185" s="16" t="s">
        <v>16</v>
      </c>
      <c r="C185" s="15" t="str">
        <f>"20190111003"</f>
        <v>20190111003</v>
      </c>
      <c r="D185" s="17" t="s">
        <v>12</v>
      </c>
    </row>
    <row r="186" spans="1:4" ht="21.75" customHeight="1">
      <c r="A186" s="15" t="s">
        <v>17</v>
      </c>
      <c r="B186" s="16" t="s">
        <v>16</v>
      </c>
      <c r="C186" s="15" t="str">
        <f>"20190111004"</f>
        <v>20190111004</v>
      </c>
      <c r="D186" s="17">
        <v>47.5</v>
      </c>
    </row>
    <row r="187" spans="1:4" ht="21.75" customHeight="1">
      <c r="A187" s="15" t="s">
        <v>17</v>
      </c>
      <c r="B187" s="16" t="s">
        <v>16</v>
      </c>
      <c r="C187" s="15" t="str">
        <f>"20190111005"</f>
        <v>20190111005</v>
      </c>
      <c r="D187" s="17">
        <v>67</v>
      </c>
    </row>
    <row r="188" spans="1:4" ht="21.75" customHeight="1">
      <c r="A188" s="15" t="s">
        <v>17</v>
      </c>
      <c r="B188" s="16" t="s">
        <v>16</v>
      </c>
      <c r="C188" s="15" t="str">
        <f>"20190111006"</f>
        <v>20190111006</v>
      </c>
      <c r="D188" s="17">
        <v>59</v>
      </c>
    </row>
    <row r="189" spans="1:4" ht="21.75" customHeight="1">
      <c r="A189" s="15" t="s">
        <v>17</v>
      </c>
      <c r="B189" s="16" t="s">
        <v>16</v>
      </c>
      <c r="C189" s="15" t="str">
        <f>"20190111007"</f>
        <v>20190111007</v>
      </c>
      <c r="D189" s="17">
        <v>58</v>
      </c>
    </row>
    <row r="190" spans="1:4" ht="21.75" customHeight="1">
      <c r="A190" s="15" t="s">
        <v>17</v>
      </c>
      <c r="B190" s="16" t="s">
        <v>16</v>
      </c>
      <c r="C190" s="15" t="str">
        <f>"20190111008"</f>
        <v>20190111008</v>
      </c>
      <c r="D190" s="17">
        <v>64.5</v>
      </c>
    </row>
    <row r="191" spans="1:4" ht="21.75" customHeight="1">
      <c r="A191" s="15" t="s">
        <v>17</v>
      </c>
      <c r="B191" s="16" t="s">
        <v>16</v>
      </c>
      <c r="C191" s="15" t="str">
        <f>"20190111009"</f>
        <v>20190111009</v>
      </c>
      <c r="D191" s="17">
        <v>50</v>
      </c>
    </row>
    <row r="192" spans="1:4" ht="21.75" customHeight="1">
      <c r="A192" s="15" t="s">
        <v>17</v>
      </c>
      <c r="B192" s="16" t="s">
        <v>16</v>
      </c>
      <c r="C192" s="15" t="str">
        <f>"20190111010"</f>
        <v>20190111010</v>
      </c>
      <c r="D192" s="17">
        <v>59.5</v>
      </c>
    </row>
    <row r="193" spans="1:4" ht="21.75" customHeight="1">
      <c r="A193" s="15" t="s">
        <v>17</v>
      </c>
      <c r="B193" s="16" t="s">
        <v>16</v>
      </c>
      <c r="C193" s="15" t="str">
        <f>"20190111011"</f>
        <v>20190111011</v>
      </c>
      <c r="D193" s="17" t="s">
        <v>12</v>
      </c>
    </row>
    <row r="194" spans="1:4" ht="21.75" customHeight="1">
      <c r="A194" s="15" t="s">
        <v>17</v>
      </c>
      <c r="B194" s="16" t="s">
        <v>16</v>
      </c>
      <c r="C194" s="15" t="str">
        <f>"20190111012"</f>
        <v>20190111012</v>
      </c>
      <c r="D194" s="17">
        <v>56.5</v>
      </c>
    </row>
    <row r="195" spans="1:4" ht="21.75" customHeight="1">
      <c r="A195" s="15" t="s">
        <v>17</v>
      </c>
      <c r="B195" s="16" t="s">
        <v>16</v>
      </c>
      <c r="C195" s="15" t="str">
        <f>"20190111013"</f>
        <v>20190111013</v>
      </c>
      <c r="D195" s="17">
        <v>67</v>
      </c>
    </row>
    <row r="196" spans="1:4" ht="21.75" customHeight="1">
      <c r="A196" s="15" t="s">
        <v>17</v>
      </c>
      <c r="B196" s="16" t="s">
        <v>19</v>
      </c>
      <c r="C196" s="15" t="str">
        <f>"20190111014"</f>
        <v>20190111014</v>
      </c>
      <c r="D196" s="17">
        <v>57.5</v>
      </c>
    </row>
    <row r="197" spans="1:4" ht="21.75" customHeight="1">
      <c r="A197" s="15" t="s">
        <v>17</v>
      </c>
      <c r="B197" s="16" t="s">
        <v>19</v>
      </c>
      <c r="C197" s="15" t="str">
        <f>"20190111015"</f>
        <v>20190111015</v>
      </c>
      <c r="D197" s="17">
        <v>64.5</v>
      </c>
    </row>
    <row r="198" spans="1:4" ht="21.75" customHeight="1">
      <c r="A198" s="15" t="s">
        <v>17</v>
      </c>
      <c r="B198" s="16" t="s">
        <v>19</v>
      </c>
      <c r="C198" s="15" t="str">
        <f>"20190111016"</f>
        <v>20190111016</v>
      </c>
      <c r="D198" s="17">
        <v>60.5</v>
      </c>
    </row>
    <row r="199" spans="1:5" ht="21.75" customHeight="1">
      <c r="A199" s="15" t="s">
        <v>17</v>
      </c>
      <c r="B199" s="16" t="s">
        <v>19</v>
      </c>
      <c r="C199" s="15" t="str">
        <f>"20190111017"</f>
        <v>20190111017</v>
      </c>
      <c r="D199" s="17">
        <v>68.5</v>
      </c>
      <c r="E199" s="18" t="s">
        <v>9</v>
      </c>
    </row>
    <row r="200" spans="1:4" ht="21.75" customHeight="1">
      <c r="A200" s="15" t="s">
        <v>17</v>
      </c>
      <c r="B200" s="16" t="s">
        <v>19</v>
      </c>
      <c r="C200" s="15" t="str">
        <f>"20190111018"</f>
        <v>20190111018</v>
      </c>
      <c r="D200" s="17">
        <v>50</v>
      </c>
    </row>
    <row r="201" spans="1:4" ht="21.75" customHeight="1">
      <c r="A201" s="15" t="s">
        <v>17</v>
      </c>
      <c r="B201" s="16" t="s">
        <v>19</v>
      </c>
      <c r="C201" s="15" t="str">
        <f>"20190111019"</f>
        <v>20190111019</v>
      </c>
      <c r="D201" s="17">
        <v>53.5</v>
      </c>
    </row>
    <row r="202" spans="1:4" ht="21.75" customHeight="1">
      <c r="A202" s="15" t="s">
        <v>17</v>
      </c>
      <c r="B202" s="16" t="s">
        <v>19</v>
      </c>
      <c r="C202" s="15" t="str">
        <f>"20190111020"</f>
        <v>20190111020</v>
      </c>
      <c r="D202" s="17">
        <v>64</v>
      </c>
    </row>
    <row r="203" spans="1:4" ht="21.75" customHeight="1">
      <c r="A203" s="15" t="s">
        <v>17</v>
      </c>
      <c r="B203" s="16" t="s">
        <v>19</v>
      </c>
      <c r="C203" s="15" t="str">
        <f>"20190111021"</f>
        <v>20190111021</v>
      </c>
      <c r="D203" s="17">
        <v>67</v>
      </c>
    </row>
    <row r="204" spans="1:4" ht="21.75" customHeight="1">
      <c r="A204" s="15" t="s">
        <v>17</v>
      </c>
      <c r="B204" s="16" t="s">
        <v>19</v>
      </c>
      <c r="C204" s="15" t="str">
        <f>"20190111022"</f>
        <v>20190111022</v>
      </c>
      <c r="D204" s="17">
        <v>63</v>
      </c>
    </row>
    <row r="205" spans="1:4" ht="21.75" customHeight="1">
      <c r="A205" s="15" t="s">
        <v>17</v>
      </c>
      <c r="B205" s="16" t="s">
        <v>19</v>
      </c>
      <c r="C205" s="15" t="str">
        <f>"20190111023"</f>
        <v>20190111023</v>
      </c>
      <c r="D205" s="17">
        <v>64</v>
      </c>
    </row>
    <row r="206" spans="1:4" ht="21.75" customHeight="1">
      <c r="A206" s="15" t="s">
        <v>17</v>
      </c>
      <c r="B206" s="16" t="s">
        <v>19</v>
      </c>
      <c r="C206" s="15" t="str">
        <f>"20190111024"</f>
        <v>20190111024</v>
      </c>
      <c r="D206" s="17">
        <v>55.5</v>
      </c>
    </row>
    <row r="207" spans="1:5" ht="21.75" customHeight="1">
      <c r="A207" s="15" t="s">
        <v>17</v>
      </c>
      <c r="B207" s="16" t="s">
        <v>19</v>
      </c>
      <c r="C207" s="15" t="str">
        <f>"20190111025"</f>
        <v>20190111025</v>
      </c>
      <c r="D207" s="17">
        <v>72</v>
      </c>
      <c r="E207" s="18" t="s">
        <v>9</v>
      </c>
    </row>
    <row r="208" spans="1:4" ht="21.75" customHeight="1">
      <c r="A208" s="15" t="s">
        <v>17</v>
      </c>
      <c r="B208" s="16" t="s">
        <v>19</v>
      </c>
      <c r="C208" s="15" t="str">
        <f>"20190111026"</f>
        <v>20190111026</v>
      </c>
      <c r="D208" s="17">
        <v>66.5</v>
      </c>
    </row>
    <row r="209" spans="1:5" ht="21.75" customHeight="1">
      <c r="A209" s="15" t="s">
        <v>17</v>
      </c>
      <c r="B209" s="16" t="s">
        <v>19</v>
      </c>
      <c r="C209" s="15" t="str">
        <f>"20190111027"</f>
        <v>20190111027</v>
      </c>
      <c r="D209" s="17">
        <v>68.5</v>
      </c>
      <c r="E209" s="18" t="s">
        <v>9</v>
      </c>
    </row>
    <row r="210" spans="1:4" ht="21.75" customHeight="1">
      <c r="A210" s="15" t="s">
        <v>17</v>
      </c>
      <c r="B210" s="16" t="s">
        <v>19</v>
      </c>
      <c r="C210" s="15" t="str">
        <f>"20190111028"</f>
        <v>20190111028</v>
      </c>
      <c r="D210" s="17">
        <v>59</v>
      </c>
    </row>
    <row r="211" spans="1:4" ht="21.75" customHeight="1">
      <c r="A211" s="15" t="s">
        <v>17</v>
      </c>
      <c r="B211" s="16" t="s">
        <v>19</v>
      </c>
      <c r="C211" s="15" t="str">
        <f>"20190111029"</f>
        <v>20190111029</v>
      </c>
      <c r="D211" s="17" t="s">
        <v>12</v>
      </c>
    </row>
    <row r="212" spans="1:4" ht="21.75" customHeight="1">
      <c r="A212" s="15" t="s">
        <v>17</v>
      </c>
      <c r="B212" s="16" t="s">
        <v>19</v>
      </c>
      <c r="C212" s="15" t="str">
        <f>"20190111030"</f>
        <v>20190111030</v>
      </c>
      <c r="D212" s="17">
        <v>60</v>
      </c>
    </row>
    <row r="213" spans="1:4" ht="21.75" customHeight="1">
      <c r="A213" s="15" t="s">
        <v>17</v>
      </c>
      <c r="B213" s="16" t="s">
        <v>19</v>
      </c>
      <c r="C213" s="15" t="str">
        <f>"20190111101"</f>
        <v>20190111101</v>
      </c>
      <c r="D213" s="17" t="s">
        <v>12</v>
      </c>
    </row>
    <row r="214" spans="1:4" ht="21.75" customHeight="1">
      <c r="A214" s="15" t="s">
        <v>17</v>
      </c>
      <c r="B214" s="16" t="s">
        <v>19</v>
      </c>
      <c r="C214" s="15" t="str">
        <f>"20190111102"</f>
        <v>20190111102</v>
      </c>
      <c r="D214" s="17">
        <v>58</v>
      </c>
    </row>
    <row r="215" spans="1:4" ht="21.75" customHeight="1">
      <c r="A215" s="15" t="s">
        <v>17</v>
      </c>
      <c r="B215" s="16" t="s">
        <v>19</v>
      </c>
      <c r="C215" s="15" t="str">
        <f>"20190111103"</f>
        <v>20190111103</v>
      </c>
      <c r="D215" s="17">
        <v>58.5</v>
      </c>
    </row>
    <row r="216" spans="1:4" ht="21.75" customHeight="1">
      <c r="A216" s="15" t="s">
        <v>17</v>
      </c>
      <c r="B216" s="16" t="s">
        <v>19</v>
      </c>
      <c r="C216" s="15" t="str">
        <f>"20190111104"</f>
        <v>20190111104</v>
      </c>
      <c r="D216" s="17" t="s">
        <v>12</v>
      </c>
    </row>
    <row r="217" spans="1:4" ht="21.75" customHeight="1">
      <c r="A217" s="15" t="s">
        <v>17</v>
      </c>
      <c r="B217" s="16" t="s">
        <v>19</v>
      </c>
      <c r="C217" s="15" t="str">
        <f>"20190111105"</f>
        <v>20190111105</v>
      </c>
      <c r="D217" s="17">
        <v>54.5</v>
      </c>
    </row>
    <row r="218" spans="1:4" ht="21.75" customHeight="1">
      <c r="A218" s="15" t="s">
        <v>17</v>
      </c>
      <c r="B218" s="16" t="s">
        <v>19</v>
      </c>
      <c r="C218" s="15" t="str">
        <f>"20190111106"</f>
        <v>20190111106</v>
      </c>
      <c r="D218" s="17">
        <v>60.5</v>
      </c>
    </row>
    <row r="219" spans="1:4" ht="21.75" customHeight="1">
      <c r="A219" s="15" t="s">
        <v>17</v>
      </c>
      <c r="B219" s="16" t="s">
        <v>19</v>
      </c>
      <c r="C219" s="15" t="str">
        <f>"20190111107"</f>
        <v>20190111107</v>
      </c>
      <c r="D219" s="17">
        <v>59</v>
      </c>
    </row>
    <row r="220" spans="1:4" ht="21.75" customHeight="1">
      <c r="A220" s="15" t="s">
        <v>17</v>
      </c>
      <c r="B220" s="16" t="s">
        <v>19</v>
      </c>
      <c r="C220" s="15" t="str">
        <f>"20190111108"</f>
        <v>20190111108</v>
      </c>
      <c r="D220" s="17">
        <v>48.5</v>
      </c>
    </row>
    <row r="221" spans="1:4" ht="21.75" customHeight="1">
      <c r="A221" s="15" t="s">
        <v>17</v>
      </c>
      <c r="B221" s="16" t="s">
        <v>19</v>
      </c>
      <c r="C221" s="15" t="str">
        <f>"20190111109"</f>
        <v>20190111109</v>
      </c>
      <c r="D221" s="17">
        <v>50.5</v>
      </c>
    </row>
    <row r="222" spans="1:4" ht="21.75" customHeight="1">
      <c r="A222" s="15" t="s">
        <v>17</v>
      </c>
      <c r="B222" s="16" t="s">
        <v>19</v>
      </c>
      <c r="C222" s="15" t="str">
        <f>"20190111110"</f>
        <v>20190111110</v>
      </c>
      <c r="D222" s="17">
        <v>61.5</v>
      </c>
    </row>
    <row r="223" spans="1:4" ht="21.75" customHeight="1">
      <c r="A223" s="15" t="s">
        <v>17</v>
      </c>
      <c r="B223" s="16" t="s">
        <v>19</v>
      </c>
      <c r="C223" s="15" t="str">
        <f>"20190111111"</f>
        <v>20190111111</v>
      </c>
      <c r="D223" s="17">
        <v>50</v>
      </c>
    </row>
    <row r="224" spans="1:4" ht="21.75" customHeight="1">
      <c r="A224" s="15" t="s">
        <v>17</v>
      </c>
      <c r="B224" s="16" t="s">
        <v>19</v>
      </c>
      <c r="C224" s="15" t="str">
        <f>"20190111112"</f>
        <v>20190111112</v>
      </c>
      <c r="D224" s="17">
        <v>63</v>
      </c>
    </row>
    <row r="225" spans="1:4" ht="21.75" customHeight="1">
      <c r="A225" s="15" t="s">
        <v>17</v>
      </c>
      <c r="B225" s="16" t="s">
        <v>19</v>
      </c>
      <c r="C225" s="15" t="str">
        <f>"20190111113"</f>
        <v>20190111113</v>
      </c>
      <c r="D225" s="17" t="s">
        <v>12</v>
      </c>
    </row>
    <row r="226" spans="1:4" ht="21.75" customHeight="1">
      <c r="A226" s="15" t="s">
        <v>17</v>
      </c>
      <c r="B226" s="16" t="s">
        <v>19</v>
      </c>
      <c r="C226" s="15" t="str">
        <f>"20190111114"</f>
        <v>20190111114</v>
      </c>
      <c r="D226" s="17">
        <v>60.5</v>
      </c>
    </row>
    <row r="227" spans="1:4" ht="21.75" customHeight="1">
      <c r="A227" s="15" t="s">
        <v>17</v>
      </c>
      <c r="B227" s="16" t="s">
        <v>19</v>
      </c>
      <c r="C227" s="15" t="str">
        <f>"20190111115"</f>
        <v>20190111115</v>
      </c>
      <c r="D227" s="17">
        <v>54</v>
      </c>
    </row>
    <row r="228" spans="1:4" ht="21.75" customHeight="1">
      <c r="A228" s="15" t="s">
        <v>17</v>
      </c>
      <c r="B228" s="16" t="s">
        <v>19</v>
      </c>
      <c r="C228" s="15" t="str">
        <f>"20190111116"</f>
        <v>20190111116</v>
      </c>
      <c r="D228" s="17" t="s">
        <v>12</v>
      </c>
    </row>
    <row r="229" spans="1:4" ht="21.75" customHeight="1">
      <c r="A229" s="15" t="s">
        <v>17</v>
      </c>
      <c r="B229" s="16" t="s">
        <v>19</v>
      </c>
      <c r="C229" s="15" t="str">
        <f>"20190111117"</f>
        <v>20190111117</v>
      </c>
      <c r="D229" s="17">
        <v>67.5</v>
      </c>
    </row>
    <row r="230" spans="1:4" ht="21.75" customHeight="1">
      <c r="A230" s="15" t="s">
        <v>17</v>
      </c>
      <c r="B230" s="16" t="s">
        <v>19</v>
      </c>
      <c r="C230" s="15" t="str">
        <f>"20190111118"</f>
        <v>20190111118</v>
      </c>
      <c r="D230" s="17" t="s">
        <v>12</v>
      </c>
    </row>
    <row r="231" spans="1:4" ht="21.75" customHeight="1">
      <c r="A231" s="15" t="s">
        <v>17</v>
      </c>
      <c r="B231" s="16" t="s">
        <v>19</v>
      </c>
      <c r="C231" s="15" t="str">
        <f>"20190111119"</f>
        <v>20190111119</v>
      </c>
      <c r="D231" s="17">
        <v>58.5</v>
      </c>
    </row>
    <row r="232" spans="1:4" ht="21.75" customHeight="1">
      <c r="A232" s="15" t="s">
        <v>17</v>
      </c>
      <c r="B232" s="16" t="s">
        <v>19</v>
      </c>
      <c r="C232" s="15" t="str">
        <f>"20190111120"</f>
        <v>20190111120</v>
      </c>
      <c r="D232" s="17">
        <v>57.5</v>
      </c>
    </row>
    <row r="233" spans="1:4" ht="21.75" customHeight="1">
      <c r="A233" s="15" t="s">
        <v>17</v>
      </c>
      <c r="B233" s="16" t="s">
        <v>19</v>
      </c>
      <c r="C233" s="15" t="str">
        <f>"20190111121"</f>
        <v>20190111121</v>
      </c>
      <c r="D233" s="17">
        <v>57</v>
      </c>
    </row>
    <row r="234" spans="1:4" ht="21.75" customHeight="1">
      <c r="A234" s="15" t="s">
        <v>17</v>
      </c>
      <c r="B234" s="16" t="s">
        <v>19</v>
      </c>
      <c r="C234" s="15" t="str">
        <f>"20190111122"</f>
        <v>20190111122</v>
      </c>
      <c r="D234" s="17">
        <v>56</v>
      </c>
    </row>
    <row r="235" spans="1:4" ht="21.75" customHeight="1">
      <c r="A235" s="15" t="s">
        <v>17</v>
      </c>
      <c r="B235" s="16" t="s">
        <v>19</v>
      </c>
      <c r="C235" s="15" t="str">
        <f>"20190111123"</f>
        <v>20190111123</v>
      </c>
      <c r="D235" s="17">
        <v>67</v>
      </c>
    </row>
    <row r="236" spans="1:4" ht="21.75" customHeight="1">
      <c r="A236" s="15" t="s">
        <v>17</v>
      </c>
      <c r="B236" s="16" t="s">
        <v>19</v>
      </c>
      <c r="C236" s="15" t="str">
        <f>"20190111124"</f>
        <v>20190111124</v>
      </c>
      <c r="D236" s="17">
        <v>61</v>
      </c>
    </row>
    <row r="237" spans="1:4" ht="21.75" customHeight="1">
      <c r="A237" s="15" t="s">
        <v>17</v>
      </c>
      <c r="B237" s="16" t="s">
        <v>19</v>
      </c>
      <c r="C237" s="15" t="str">
        <f>"20190111125"</f>
        <v>20190111125</v>
      </c>
      <c r="D237" s="17">
        <v>58.5</v>
      </c>
    </row>
    <row r="238" spans="1:4" ht="21.75" customHeight="1">
      <c r="A238" s="15" t="s">
        <v>17</v>
      </c>
      <c r="B238" s="16" t="s">
        <v>19</v>
      </c>
      <c r="C238" s="15" t="str">
        <f>"20190111126"</f>
        <v>20190111126</v>
      </c>
      <c r="D238" s="17">
        <v>61.5</v>
      </c>
    </row>
    <row r="239" spans="1:4" ht="21.75" customHeight="1">
      <c r="A239" s="15" t="s">
        <v>17</v>
      </c>
      <c r="B239" s="16" t="s">
        <v>19</v>
      </c>
      <c r="C239" s="15" t="str">
        <f>"20190111127"</f>
        <v>20190111127</v>
      </c>
      <c r="D239" s="17">
        <v>62</v>
      </c>
    </row>
    <row r="240" spans="1:4" ht="21.75" customHeight="1">
      <c r="A240" s="15" t="s">
        <v>17</v>
      </c>
      <c r="B240" s="16" t="s">
        <v>19</v>
      </c>
      <c r="C240" s="15" t="str">
        <f>"20190111128"</f>
        <v>20190111128</v>
      </c>
      <c r="D240" s="17">
        <v>63.5</v>
      </c>
    </row>
    <row r="241" spans="1:4" ht="21.75" customHeight="1">
      <c r="A241" s="15" t="s">
        <v>17</v>
      </c>
      <c r="B241" s="16" t="s">
        <v>19</v>
      </c>
      <c r="C241" s="15" t="str">
        <f>"20190111129"</f>
        <v>20190111129</v>
      </c>
      <c r="D241" s="17" t="s">
        <v>12</v>
      </c>
    </row>
    <row r="242" spans="1:4" ht="21.75" customHeight="1">
      <c r="A242" s="15" t="s">
        <v>17</v>
      </c>
      <c r="B242" s="16" t="s">
        <v>19</v>
      </c>
      <c r="C242" s="15" t="str">
        <f>"20190111130"</f>
        <v>20190111130</v>
      </c>
      <c r="D242" s="17">
        <v>57.5</v>
      </c>
    </row>
    <row r="243" spans="1:4" ht="21.75" customHeight="1">
      <c r="A243" s="15" t="s">
        <v>17</v>
      </c>
      <c r="B243" s="16" t="s">
        <v>19</v>
      </c>
      <c r="C243" s="15" t="str">
        <f>"20190111201"</f>
        <v>20190111201</v>
      </c>
      <c r="D243" s="17">
        <v>60</v>
      </c>
    </row>
    <row r="244" spans="1:4" ht="21.75" customHeight="1">
      <c r="A244" s="15" t="s">
        <v>17</v>
      </c>
      <c r="B244" s="16" t="s">
        <v>19</v>
      </c>
      <c r="C244" s="15" t="str">
        <f>"20190111202"</f>
        <v>20190111202</v>
      </c>
      <c r="D244" s="17">
        <v>64.5</v>
      </c>
    </row>
    <row r="245" spans="1:4" ht="21.75" customHeight="1">
      <c r="A245" s="15" t="s">
        <v>17</v>
      </c>
      <c r="B245" s="16" t="s">
        <v>19</v>
      </c>
      <c r="C245" s="15" t="str">
        <f>"20190111203"</f>
        <v>20190111203</v>
      </c>
      <c r="D245" s="17">
        <v>67</v>
      </c>
    </row>
    <row r="246" spans="1:4" ht="21.75" customHeight="1">
      <c r="A246" s="15" t="s">
        <v>17</v>
      </c>
      <c r="B246" s="16" t="s">
        <v>19</v>
      </c>
      <c r="C246" s="15" t="str">
        <f>"20190111204"</f>
        <v>20190111204</v>
      </c>
      <c r="D246" s="17">
        <v>57</v>
      </c>
    </row>
    <row r="247" spans="1:4" ht="21.75" customHeight="1">
      <c r="A247" s="15" t="s">
        <v>17</v>
      </c>
      <c r="B247" s="16" t="s">
        <v>19</v>
      </c>
      <c r="C247" s="15" t="str">
        <f>"20190111205"</f>
        <v>20190111205</v>
      </c>
      <c r="D247" s="17">
        <v>58</v>
      </c>
    </row>
    <row r="248" spans="1:4" ht="21.75" customHeight="1">
      <c r="A248" s="15" t="s">
        <v>17</v>
      </c>
      <c r="B248" s="16" t="s">
        <v>19</v>
      </c>
      <c r="C248" s="15" t="str">
        <f>"20190111206"</f>
        <v>20190111206</v>
      </c>
      <c r="D248" s="17">
        <v>52</v>
      </c>
    </row>
    <row r="249" spans="1:4" ht="21.75" customHeight="1">
      <c r="A249" s="15" t="s">
        <v>17</v>
      </c>
      <c r="B249" s="16" t="s">
        <v>19</v>
      </c>
      <c r="C249" s="15" t="str">
        <f>"20190111207"</f>
        <v>20190111207</v>
      </c>
      <c r="D249" s="17">
        <v>66.5</v>
      </c>
    </row>
    <row r="250" spans="1:4" ht="21.75" customHeight="1">
      <c r="A250" s="15" t="s">
        <v>17</v>
      </c>
      <c r="B250" s="16" t="s">
        <v>19</v>
      </c>
      <c r="C250" s="15" t="str">
        <f>"20190111208"</f>
        <v>20190111208</v>
      </c>
      <c r="D250" s="17">
        <v>57</v>
      </c>
    </row>
    <row r="251" spans="1:4" ht="21.75" customHeight="1">
      <c r="A251" s="15" t="s">
        <v>17</v>
      </c>
      <c r="B251" s="16" t="s">
        <v>19</v>
      </c>
      <c r="C251" s="15" t="str">
        <f>"20190111209"</f>
        <v>20190111209</v>
      </c>
      <c r="D251" s="17" t="s">
        <v>12</v>
      </c>
    </row>
    <row r="252" spans="1:4" ht="21.75" customHeight="1">
      <c r="A252" s="15" t="s">
        <v>17</v>
      </c>
      <c r="B252" s="16" t="s">
        <v>19</v>
      </c>
      <c r="C252" s="15" t="str">
        <f>"20190111210"</f>
        <v>20190111210</v>
      </c>
      <c r="D252" s="17">
        <v>62</v>
      </c>
    </row>
    <row r="253" spans="1:4" ht="21.75" customHeight="1">
      <c r="A253" s="15" t="s">
        <v>17</v>
      </c>
      <c r="B253" s="16" t="s">
        <v>19</v>
      </c>
      <c r="C253" s="15" t="str">
        <f>"20190111211"</f>
        <v>20190111211</v>
      </c>
      <c r="D253" s="17">
        <v>65</v>
      </c>
    </row>
    <row r="254" spans="1:4" ht="21.75" customHeight="1">
      <c r="A254" s="15" t="s">
        <v>17</v>
      </c>
      <c r="B254" s="16" t="s">
        <v>19</v>
      </c>
      <c r="C254" s="15" t="str">
        <f>"20190111212"</f>
        <v>20190111212</v>
      </c>
      <c r="D254" s="17">
        <v>62</v>
      </c>
    </row>
    <row r="255" spans="1:4" ht="21.75" customHeight="1">
      <c r="A255" s="15" t="s">
        <v>17</v>
      </c>
      <c r="B255" s="16" t="s">
        <v>19</v>
      </c>
      <c r="C255" s="15" t="str">
        <f>"20190111213"</f>
        <v>20190111213</v>
      </c>
      <c r="D255" s="17">
        <v>42</v>
      </c>
    </row>
    <row r="256" spans="1:4" ht="21.75" customHeight="1">
      <c r="A256" s="15" t="s">
        <v>17</v>
      </c>
      <c r="B256" s="16" t="s">
        <v>19</v>
      </c>
      <c r="C256" s="15" t="str">
        <f>"20190111214"</f>
        <v>20190111214</v>
      </c>
      <c r="D256" s="17" t="s">
        <v>12</v>
      </c>
    </row>
    <row r="257" spans="1:5" ht="21.75" customHeight="1">
      <c r="A257" s="15" t="s">
        <v>17</v>
      </c>
      <c r="B257" s="16" t="s">
        <v>19</v>
      </c>
      <c r="C257" s="15" t="str">
        <f>"20190111215"</f>
        <v>20190111215</v>
      </c>
      <c r="D257" s="17" t="s">
        <v>12</v>
      </c>
      <c r="E257" s="19"/>
    </row>
    <row r="258" spans="1:5" ht="21.75" customHeight="1">
      <c r="A258" s="15" t="s">
        <v>17</v>
      </c>
      <c r="B258" s="16" t="s">
        <v>19</v>
      </c>
      <c r="C258" s="15" t="str">
        <f>"20190111216"</f>
        <v>20190111216</v>
      </c>
      <c r="D258" s="17">
        <v>55.5</v>
      </c>
      <c r="E258" s="19"/>
    </row>
    <row r="259" spans="1:5" ht="21.75" customHeight="1">
      <c r="A259" s="15" t="s">
        <v>17</v>
      </c>
      <c r="B259" s="16" t="s">
        <v>19</v>
      </c>
      <c r="C259" s="15" t="str">
        <f>"20190111217"</f>
        <v>20190111217</v>
      </c>
      <c r="D259" s="17">
        <v>66</v>
      </c>
      <c r="E259" s="19"/>
    </row>
    <row r="260" spans="1:4" ht="21.75" customHeight="1">
      <c r="A260" s="15" t="s">
        <v>17</v>
      </c>
      <c r="B260" s="16" t="s">
        <v>19</v>
      </c>
      <c r="C260" s="15" t="str">
        <f>"20190111218"</f>
        <v>20190111218</v>
      </c>
      <c r="D260" s="17">
        <v>58.5</v>
      </c>
    </row>
    <row r="261" spans="1:4" ht="21.75" customHeight="1">
      <c r="A261" s="15" t="s">
        <v>17</v>
      </c>
      <c r="B261" s="16" t="s">
        <v>19</v>
      </c>
      <c r="C261" s="15" t="str">
        <f>"20190111219"</f>
        <v>20190111219</v>
      </c>
      <c r="D261" s="17">
        <v>58.5</v>
      </c>
    </row>
    <row r="262" spans="1:4" ht="21.75" customHeight="1">
      <c r="A262" s="15" t="s">
        <v>17</v>
      </c>
      <c r="B262" s="16" t="s">
        <v>19</v>
      </c>
      <c r="C262" s="15" t="str">
        <f>"20190111220"</f>
        <v>20190111220</v>
      </c>
      <c r="D262" s="17">
        <v>53</v>
      </c>
    </row>
    <row r="263" spans="1:4" ht="21.75" customHeight="1">
      <c r="A263" s="15" t="s">
        <v>17</v>
      </c>
      <c r="B263" s="16" t="s">
        <v>19</v>
      </c>
      <c r="C263" s="15" t="str">
        <f>"20190111221"</f>
        <v>20190111221</v>
      </c>
      <c r="D263" s="17">
        <v>56</v>
      </c>
    </row>
    <row r="264" spans="1:4" ht="21.75" customHeight="1">
      <c r="A264" s="15" t="s">
        <v>17</v>
      </c>
      <c r="B264" s="16" t="s">
        <v>19</v>
      </c>
      <c r="C264" s="15" t="str">
        <f>"20190111222"</f>
        <v>20190111222</v>
      </c>
      <c r="D264" s="17">
        <v>60.5</v>
      </c>
    </row>
    <row r="265" spans="1:4" ht="21.75" customHeight="1">
      <c r="A265" s="15" t="s">
        <v>17</v>
      </c>
      <c r="B265" s="16" t="s">
        <v>19</v>
      </c>
      <c r="C265" s="15" t="str">
        <f>"20190111223"</f>
        <v>20190111223</v>
      </c>
      <c r="D265" s="17">
        <v>51.5</v>
      </c>
    </row>
    <row r="266" spans="1:4" ht="21.75" customHeight="1">
      <c r="A266" s="15" t="s">
        <v>17</v>
      </c>
      <c r="B266" s="16" t="s">
        <v>19</v>
      </c>
      <c r="C266" s="15" t="str">
        <f>"20190111224"</f>
        <v>20190111224</v>
      </c>
      <c r="D266" s="17">
        <v>58</v>
      </c>
    </row>
    <row r="267" spans="1:4" ht="21.75" customHeight="1">
      <c r="A267" s="15" t="s">
        <v>20</v>
      </c>
      <c r="B267" s="16" t="s">
        <v>21</v>
      </c>
      <c r="C267" s="15" t="str">
        <f>"20190111225"</f>
        <v>20190111225</v>
      </c>
      <c r="D267" s="17" t="s">
        <v>12</v>
      </c>
    </row>
    <row r="268" spans="1:4" ht="21.75" customHeight="1">
      <c r="A268" s="15" t="s">
        <v>20</v>
      </c>
      <c r="B268" s="16" t="s">
        <v>21</v>
      </c>
      <c r="C268" s="15" t="str">
        <f>"20190111226"</f>
        <v>20190111226</v>
      </c>
      <c r="D268" s="17">
        <v>63.5</v>
      </c>
    </row>
    <row r="269" spans="1:4" ht="21.75" customHeight="1">
      <c r="A269" s="15" t="s">
        <v>20</v>
      </c>
      <c r="B269" s="16" t="s">
        <v>21</v>
      </c>
      <c r="C269" s="15" t="str">
        <f>"20190111227"</f>
        <v>20190111227</v>
      </c>
      <c r="D269" s="17">
        <v>61.5</v>
      </c>
    </row>
    <row r="270" spans="1:4" ht="21.75" customHeight="1">
      <c r="A270" s="15" t="s">
        <v>20</v>
      </c>
      <c r="B270" s="16" t="s">
        <v>21</v>
      </c>
      <c r="C270" s="15" t="str">
        <f>"20190111228"</f>
        <v>20190111228</v>
      </c>
      <c r="D270" s="17" t="s">
        <v>12</v>
      </c>
    </row>
    <row r="271" spans="1:5" ht="21.75" customHeight="1">
      <c r="A271" s="15" t="s">
        <v>20</v>
      </c>
      <c r="B271" s="16" t="s">
        <v>21</v>
      </c>
      <c r="C271" s="15" t="str">
        <f>"20190111229"</f>
        <v>20190111229</v>
      </c>
      <c r="D271" s="17">
        <v>66</v>
      </c>
      <c r="E271" s="18" t="s">
        <v>9</v>
      </c>
    </row>
    <row r="272" spans="1:4" ht="21.75" customHeight="1">
      <c r="A272" s="15" t="s">
        <v>20</v>
      </c>
      <c r="B272" s="16" t="s">
        <v>21</v>
      </c>
      <c r="C272" s="15" t="str">
        <f>"20190111230"</f>
        <v>20190111230</v>
      </c>
      <c r="D272" s="17">
        <v>46.5</v>
      </c>
    </row>
    <row r="273" spans="1:4" ht="21.75" customHeight="1">
      <c r="A273" s="15" t="s">
        <v>20</v>
      </c>
      <c r="B273" s="16" t="s">
        <v>21</v>
      </c>
      <c r="C273" s="15" t="str">
        <f>"20190111301"</f>
        <v>20190111301</v>
      </c>
      <c r="D273" s="17" t="s">
        <v>12</v>
      </c>
    </row>
    <row r="274" spans="1:4" ht="21.75" customHeight="1">
      <c r="A274" s="15" t="s">
        <v>20</v>
      </c>
      <c r="B274" s="16" t="s">
        <v>21</v>
      </c>
      <c r="C274" s="15" t="str">
        <f>"20190111302"</f>
        <v>20190111302</v>
      </c>
      <c r="D274" s="17">
        <v>59.5</v>
      </c>
    </row>
    <row r="275" spans="1:4" ht="21.75" customHeight="1">
      <c r="A275" s="15" t="s">
        <v>20</v>
      </c>
      <c r="B275" s="16" t="s">
        <v>21</v>
      </c>
      <c r="C275" s="15" t="str">
        <f>"20190111303"</f>
        <v>20190111303</v>
      </c>
      <c r="D275" s="17" t="s">
        <v>12</v>
      </c>
    </row>
    <row r="276" spans="1:5" ht="21.75" customHeight="1">
      <c r="A276" s="15" t="s">
        <v>20</v>
      </c>
      <c r="B276" s="16" t="s">
        <v>21</v>
      </c>
      <c r="C276" s="15" t="str">
        <f>"20190111304"</f>
        <v>20190111304</v>
      </c>
      <c r="D276" s="17">
        <v>56.5</v>
      </c>
      <c r="E276" s="19"/>
    </row>
    <row r="277" spans="1:5" ht="21.75" customHeight="1">
      <c r="A277" s="15" t="s">
        <v>20</v>
      </c>
      <c r="B277" s="16" t="s">
        <v>21</v>
      </c>
      <c r="C277" s="15" t="str">
        <f>"20190111305"</f>
        <v>20190111305</v>
      </c>
      <c r="D277" s="17">
        <v>52.5</v>
      </c>
      <c r="E277" s="19"/>
    </row>
    <row r="278" spans="1:5" ht="21.75" customHeight="1">
      <c r="A278" s="15" t="s">
        <v>20</v>
      </c>
      <c r="B278" s="16" t="s">
        <v>21</v>
      </c>
      <c r="C278" s="15" t="str">
        <f>"20190111306"</f>
        <v>20190111306</v>
      </c>
      <c r="D278" s="17">
        <v>61.5</v>
      </c>
      <c r="E278" s="19"/>
    </row>
    <row r="279" spans="1:5" ht="21.75" customHeight="1">
      <c r="A279" s="15" t="s">
        <v>20</v>
      </c>
      <c r="B279" s="16" t="s">
        <v>21</v>
      </c>
      <c r="C279" s="15" t="str">
        <f>"20190111307"</f>
        <v>20190111307</v>
      </c>
      <c r="D279" s="17" t="s">
        <v>12</v>
      </c>
      <c r="E279" s="19"/>
    </row>
    <row r="280" spans="1:5" ht="21.75" customHeight="1">
      <c r="A280" s="15" t="s">
        <v>20</v>
      </c>
      <c r="B280" s="16" t="s">
        <v>21</v>
      </c>
      <c r="C280" s="15" t="str">
        <f>"20190111308"</f>
        <v>20190111308</v>
      </c>
      <c r="D280" s="17">
        <v>65.5</v>
      </c>
      <c r="E280" s="18" t="s">
        <v>9</v>
      </c>
    </row>
    <row r="281" spans="1:4" ht="21.75" customHeight="1">
      <c r="A281" s="15" t="s">
        <v>20</v>
      </c>
      <c r="B281" s="16" t="s">
        <v>21</v>
      </c>
      <c r="C281" s="15" t="str">
        <f>"20190111309"</f>
        <v>20190111309</v>
      </c>
      <c r="D281" s="17">
        <v>53.5</v>
      </c>
    </row>
    <row r="282" spans="1:5" ht="21.75" customHeight="1">
      <c r="A282" s="15" t="s">
        <v>20</v>
      </c>
      <c r="B282" s="16" t="s">
        <v>21</v>
      </c>
      <c r="C282" s="15" t="str">
        <f>"20190111310"</f>
        <v>20190111310</v>
      </c>
      <c r="D282" s="17">
        <v>65</v>
      </c>
      <c r="E282" s="18" t="s">
        <v>9</v>
      </c>
    </row>
    <row r="283" spans="1:4" ht="21.75" customHeight="1">
      <c r="A283" s="15" t="s">
        <v>20</v>
      </c>
      <c r="B283" s="16" t="s">
        <v>21</v>
      </c>
      <c r="C283" s="15" t="str">
        <f>"20190111311"</f>
        <v>20190111311</v>
      </c>
      <c r="D283" s="17">
        <v>64</v>
      </c>
    </row>
    <row r="284" spans="1:4" ht="21.75" customHeight="1">
      <c r="A284" s="15" t="s">
        <v>20</v>
      </c>
      <c r="B284" s="16" t="s">
        <v>21</v>
      </c>
      <c r="C284" s="15" t="str">
        <f>"20190111312"</f>
        <v>20190111312</v>
      </c>
      <c r="D284" s="17" t="s">
        <v>12</v>
      </c>
    </row>
    <row r="285" spans="1:4" ht="21.75" customHeight="1">
      <c r="A285" s="15" t="s">
        <v>20</v>
      </c>
      <c r="B285" s="16" t="s">
        <v>22</v>
      </c>
      <c r="C285" s="15" t="str">
        <f>"20190111313"</f>
        <v>20190111313</v>
      </c>
      <c r="D285" s="17">
        <v>55.5</v>
      </c>
    </row>
    <row r="286" spans="1:5" ht="21.75" customHeight="1">
      <c r="A286" s="15" t="s">
        <v>20</v>
      </c>
      <c r="B286" s="16" t="s">
        <v>22</v>
      </c>
      <c r="C286" s="15" t="str">
        <f>"20190111314"</f>
        <v>20190111314</v>
      </c>
      <c r="D286" s="17">
        <v>70.5</v>
      </c>
      <c r="E286" s="18" t="s">
        <v>9</v>
      </c>
    </row>
    <row r="287" spans="1:5" ht="21.75" customHeight="1">
      <c r="A287" s="15" t="s">
        <v>20</v>
      </c>
      <c r="B287" s="16" t="s">
        <v>22</v>
      </c>
      <c r="C287" s="15" t="str">
        <f>"20190111315"</f>
        <v>20190111315</v>
      </c>
      <c r="D287" s="17">
        <v>66</v>
      </c>
      <c r="E287" s="18" t="s">
        <v>9</v>
      </c>
    </row>
    <row r="288" spans="1:4" ht="21.75" customHeight="1">
      <c r="A288" s="15" t="s">
        <v>20</v>
      </c>
      <c r="B288" s="16" t="s">
        <v>22</v>
      </c>
      <c r="C288" s="15" t="str">
        <f>"20190111316"</f>
        <v>20190111316</v>
      </c>
      <c r="D288" s="17">
        <v>52.5</v>
      </c>
    </row>
    <row r="289" spans="1:4" ht="21.75" customHeight="1">
      <c r="A289" s="15" t="s">
        <v>20</v>
      </c>
      <c r="B289" s="16" t="s">
        <v>22</v>
      </c>
      <c r="C289" s="15" t="str">
        <f>"20190111317"</f>
        <v>20190111317</v>
      </c>
      <c r="D289" s="17">
        <v>64</v>
      </c>
    </row>
    <row r="290" spans="1:4" ht="21.75" customHeight="1">
      <c r="A290" s="15" t="s">
        <v>20</v>
      </c>
      <c r="B290" s="16" t="s">
        <v>22</v>
      </c>
      <c r="C290" s="15" t="str">
        <f>"20190111318"</f>
        <v>20190111318</v>
      </c>
      <c r="D290" s="17">
        <v>55</v>
      </c>
    </row>
    <row r="291" spans="1:4" ht="21.75" customHeight="1">
      <c r="A291" s="15" t="s">
        <v>20</v>
      </c>
      <c r="B291" s="16" t="s">
        <v>22</v>
      </c>
      <c r="C291" s="15" t="str">
        <f>"20190111319"</f>
        <v>20190111319</v>
      </c>
      <c r="D291" s="17">
        <v>64.5</v>
      </c>
    </row>
    <row r="292" spans="1:4" ht="21.75" customHeight="1">
      <c r="A292" s="15" t="s">
        <v>20</v>
      </c>
      <c r="B292" s="16" t="s">
        <v>22</v>
      </c>
      <c r="C292" s="15" t="str">
        <f>"20190111320"</f>
        <v>20190111320</v>
      </c>
      <c r="D292" s="17">
        <v>62</v>
      </c>
    </row>
    <row r="293" spans="1:4" ht="21.75" customHeight="1">
      <c r="A293" s="15" t="s">
        <v>20</v>
      </c>
      <c r="B293" s="16" t="s">
        <v>22</v>
      </c>
      <c r="C293" s="15" t="str">
        <f>"20190111321"</f>
        <v>20190111321</v>
      </c>
      <c r="D293" s="17">
        <v>62</v>
      </c>
    </row>
    <row r="294" spans="1:4" ht="21.75" customHeight="1">
      <c r="A294" s="15" t="s">
        <v>20</v>
      </c>
      <c r="B294" s="16" t="s">
        <v>22</v>
      </c>
      <c r="C294" s="15" t="str">
        <f>"20190111322"</f>
        <v>20190111322</v>
      </c>
      <c r="D294" s="17">
        <v>57</v>
      </c>
    </row>
    <row r="295" spans="1:4" ht="21.75" customHeight="1">
      <c r="A295" s="15" t="s">
        <v>20</v>
      </c>
      <c r="B295" s="16" t="s">
        <v>22</v>
      </c>
      <c r="C295" s="15" t="str">
        <f>"20190111323"</f>
        <v>20190111323</v>
      </c>
      <c r="D295" s="17">
        <v>60.5</v>
      </c>
    </row>
    <row r="296" spans="1:4" ht="21.75" customHeight="1">
      <c r="A296" s="15" t="s">
        <v>20</v>
      </c>
      <c r="B296" s="16" t="s">
        <v>22</v>
      </c>
      <c r="C296" s="15" t="str">
        <f>"20190111324"</f>
        <v>20190111324</v>
      </c>
      <c r="D296" s="17">
        <v>58</v>
      </c>
    </row>
    <row r="297" spans="1:4" ht="21.75" customHeight="1">
      <c r="A297" s="15" t="s">
        <v>20</v>
      </c>
      <c r="B297" s="16" t="s">
        <v>22</v>
      </c>
      <c r="C297" s="15" t="str">
        <f>"20190111325"</f>
        <v>20190111325</v>
      </c>
      <c r="D297" s="17">
        <v>57.5</v>
      </c>
    </row>
    <row r="298" spans="1:4" ht="21.75" customHeight="1">
      <c r="A298" s="15" t="s">
        <v>20</v>
      </c>
      <c r="B298" s="16" t="s">
        <v>22</v>
      </c>
      <c r="C298" s="15" t="str">
        <f>"20190111326"</f>
        <v>20190111326</v>
      </c>
      <c r="D298" s="17">
        <v>57.5</v>
      </c>
    </row>
    <row r="299" spans="1:4" ht="21.75" customHeight="1">
      <c r="A299" s="15" t="s">
        <v>20</v>
      </c>
      <c r="B299" s="16" t="s">
        <v>22</v>
      </c>
      <c r="C299" s="15" t="str">
        <f>"20190111327"</f>
        <v>20190111327</v>
      </c>
      <c r="D299" s="17" t="s">
        <v>12</v>
      </c>
    </row>
    <row r="300" spans="1:4" ht="21.75" customHeight="1">
      <c r="A300" s="15" t="s">
        <v>20</v>
      </c>
      <c r="B300" s="16" t="s">
        <v>22</v>
      </c>
      <c r="C300" s="15" t="str">
        <f>"20190111328"</f>
        <v>20190111328</v>
      </c>
      <c r="D300" s="17">
        <v>54</v>
      </c>
    </row>
    <row r="301" spans="1:5" ht="21.75" customHeight="1">
      <c r="A301" s="15" t="s">
        <v>20</v>
      </c>
      <c r="B301" s="16" t="s">
        <v>22</v>
      </c>
      <c r="C301" s="15" t="str">
        <f>"20190111329"</f>
        <v>20190111329</v>
      </c>
      <c r="D301" s="17">
        <v>66</v>
      </c>
      <c r="E301" s="18" t="s">
        <v>9</v>
      </c>
    </row>
    <row r="302" spans="1:4" ht="21.75" customHeight="1">
      <c r="A302" s="15" t="s">
        <v>20</v>
      </c>
      <c r="B302" s="16" t="s">
        <v>22</v>
      </c>
      <c r="C302" s="15" t="str">
        <f>"20190111330"</f>
        <v>20190111330</v>
      </c>
      <c r="D302" s="17">
        <v>65.5</v>
      </c>
    </row>
    <row r="303" spans="1:4" ht="21.75" customHeight="1">
      <c r="A303" s="15" t="s">
        <v>20</v>
      </c>
      <c r="B303" s="16" t="s">
        <v>22</v>
      </c>
      <c r="C303" s="15" t="str">
        <f>"20190111401"</f>
        <v>20190111401</v>
      </c>
      <c r="D303" s="17">
        <v>51.5</v>
      </c>
    </row>
    <row r="304" spans="1:4" ht="21.75" customHeight="1">
      <c r="A304" s="15" t="s">
        <v>20</v>
      </c>
      <c r="B304" s="16" t="s">
        <v>22</v>
      </c>
      <c r="C304" s="15" t="str">
        <f>"20190111402"</f>
        <v>20190111402</v>
      </c>
      <c r="D304" s="17" t="s">
        <v>12</v>
      </c>
    </row>
    <row r="305" spans="1:4" ht="21.75" customHeight="1">
      <c r="A305" s="15" t="s">
        <v>23</v>
      </c>
      <c r="B305" s="16" t="s">
        <v>24</v>
      </c>
      <c r="C305" s="15" t="str">
        <f>"20190111403"</f>
        <v>20190111403</v>
      </c>
      <c r="D305" s="17">
        <v>61</v>
      </c>
    </row>
    <row r="306" spans="1:4" ht="21.75" customHeight="1">
      <c r="A306" s="15" t="s">
        <v>23</v>
      </c>
      <c r="B306" s="16" t="s">
        <v>24</v>
      </c>
      <c r="C306" s="15" t="str">
        <f>"20190111404"</f>
        <v>20190111404</v>
      </c>
      <c r="D306" s="17">
        <v>60.5</v>
      </c>
    </row>
    <row r="307" spans="1:5" ht="21.75" customHeight="1">
      <c r="A307" s="15" t="s">
        <v>23</v>
      </c>
      <c r="B307" s="16" t="s">
        <v>24</v>
      </c>
      <c r="C307" s="15" t="str">
        <f>"20190111405"</f>
        <v>20190111405</v>
      </c>
      <c r="D307" s="17">
        <v>68.5</v>
      </c>
      <c r="E307" s="18" t="s">
        <v>9</v>
      </c>
    </row>
    <row r="308" spans="1:4" ht="21.75" customHeight="1">
      <c r="A308" s="15" t="s">
        <v>23</v>
      </c>
      <c r="B308" s="16" t="s">
        <v>24</v>
      </c>
      <c r="C308" s="15" t="str">
        <f>"20190111406"</f>
        <v>20190111406</v>
      </c>
      <c r="D308" s="17">
        <v>61.5</v>
      </c>
    </row>
    <row r="309" spans="1:4" ht="21.75" customHeight="1">
      <c r="A309" s="15" t="s">
        <v>23</v>
      </c>
      <c r="B309" s="16" t="s">
        <v>24</v>
      </c>
      <c r="C309" s="15" t="str">
        <f>"20190111407"</f>
        <v>20190111407</v>
      </c>
      <c r="D309" s="17">
        <v>53</v>
      </c>
    </row>
    <row r="310" spans="1:4" ht="21.75" customHeight="1">
      <c r="A310" s="15" t="s">
        <v>23</v>
      </c>
      <c r="B310" s="16" t="s">
        <v>24</v>
      </c>
      <c r="C310" s="15" t="str">
        <f>"20190111408"</f>
        <v>20190111408</v>
      </c>
      <c r="D310" s="17" t="s">
        <v>12</v>
      </c>
    </row>
    <row r="311" spans="1:4" ht="21.75" customHeight="1">
      <c r="A311" s="15" t="s">
        <v>23</v>
      </c>
      <c r="B311" s="16" t="s">
        <v>24</v>
      </c>
      <c r="C311" s="15" t="str">
        <f>"20190111409"</f>
        <v>20190111409</v>
      </c>
      <c r="D311" s="17">
        <v>61.5</v>
      </c>
    </row>
    <row r="312" spans="1:4" ht="21.75" customHeight="1">
      <c r="A312" s="15" t="s">
        <v>23</v>
      </c>
      <c r="B312" s="16" t="s">
        <v>24</v>
      </c>
      <c r="C312" s="15" t="str">
        <f>"20190111410"</f>
        <v>20190111410</v>
      </c>
      <c r="D312" s="17">
        <v>58.5</v>
      </c>
    </row>
    <row r="313" spans="1:4" ht="21.75" customHeight="1">
      <c r="A313" s="15" t="s">
        <v>23</v>
      </c>
      <c r="B313" s="16" t="s">
        <v>24</v>
      </c>
      <c r="C313" s="15" t="str">
        <f>"20190111411"</f>
        <v>20190111411</v>
      </c>
      <c r="D313" s="17">
        <v>58.5</v>
      </c>
    </row>
    <row r="314" spans="1:4" ht="21.75" customHeight="1">
      <c r="A314" s="15" t="s">
        <v>23</v>
      </c>
      <c r="B314" s="16" t="s">
        <v>24</v>
      </c>
      <c r="C314" s="15" t="str">
        <f>"20190111412"</f>
        <v>20190111412</v>
      </c>
      <c r="D314" s="17">
        <v>56.5</v>
      </c>
    </row>
    <row r="315" spans="1:4" ht="21.75" customHeight="1">
      <c r="A315" s="15" t="s">
        <v>23</v>
      </c>
      <c r="B315" s="16" t="s">
        <v>24</v>
      </c>
      <c r="C315" s="15" t="str">
        <f>"20190111413"</f>
        <v>20190111413</v>
      </c>
      <c r="D315" s="17">
        <v>60</v>
      </c>
    </row>
    <row r="316" spans="1:4" ht="21.75" customHeight="1">
      <c r="A316" s="15" t="s">
        <v>23</v>
      </c>
      <c r="B316" s="16" t="s">
        <v>24</v>
      </c>
      <c r="C316" s="15" t="str">
        <f>"20190111414"</f>
        <v>20190111414</v>
      </c>
      <c r="D316" s="17">
        <v>64</v>
      </c>
    </row>
    <row r="317" spans="1:4" ht="21.75" customHeight="1">
      <c r="A317" s="15" t="s">
        <v>23</v>
      </c>
      <c r="B317" s="16" t="s">
        <v>24</v>
      </c>
      <c r="C317" s="15" t="str">
        <f>"20190111415"</f>
        <v>20190111415</v>
      </c>
      <c r="D317" s="17">
        <v>63.5</v>
      </c>
    </row>
    <row r="318" spans="1:5" ht="21.75" customHeight="1">
      <c r="A318" s="15" t="s">
        <v>23</v>
      </c>
      <c r="B318" s="16" t="s">
        <v>24</v>
      </c>
      <c r="C318" s="15" t="str">
        <f>"20190111416"</f>
        <v>20190111416</v>
      </c>
      <c r="D318" s="17">
        <v>70</v>
      </c>
      <c r="E318" s="18" t="s">
        <v>9</v>
      </c>
    </row>
    <row r="319" spans="1:4" ht="21.75" customHeight="1">
      <c r="A319" s="15" t="s">
        <v>23</v>
      </c>
      <c r="B319" s="16" t="s">
        <v>24</v>
      </c>
      <c r="C319" s="15" t="str">
        <f>"20190111417"</f>
        <v>20190111417</v>
      </c>
      <c r="D319" s="17">
        <v>56</v>
      </c>
    </row>
    <row r="320" spans="1:4" ht="21.75" customHeight="1">
      <c r="A320" s="15" t="s">
        <v>23</v>
      </c>
      <c r="B320" s="16" t="s">
        <v>24</v>
      </c>
      <c r="C320" s="15" t="str">
        <f>"20190111418"</f>
        <v>20190111418</v>
      </c>
      <c r="D320" s="17">
        <v>53</v>
      </c>
    </row>
    <row r="321" spans="1:4" ht="21.75" customHeight="1">
      <c r="A321" s="15" t="s">
        <v>23</v>
      </c>
      <c r="B321" s="16" t="s">
        <v>24</v>
      </c>
      <c r="C321" s="15" t="str">
        <f>"20190111419"</f>
        <v>20190111419</v>
      </c>
      <c r="D321" s="17" t="s">
        <v>12</v>
      </c>
    </row>
    <row r="322" spans="1:4" ht="21.75" customHeight="1">
      <c r="A322" s="15" t="s">
        <v>23</v>
      </c>
      <c r="B322" s="16" t="s">
        <v>24</v>
      </c>
      <c r="C322" s="15" t="str">
        <f>"20190111420"</f>
        <v>20190111420</v>
      </c>
      <c r="D322" s="17">
        <v>59.5</v>
      </c>
    </row>
    <row r="323" spans="1:4" ht="21.75" customHeight="1">
      <c r="A323" s="15" t="s">
        <v>23</v>
      </c>
      <c r="B323" s="16" t="s">
        <v>24</v>
      </c>
      <c r="C323" s="15" t="str">
        <f>"20190111421"</f>
        <v>20190111421</v>
      </c>
      <c r="D323" s="17">
        <v>58.5</v>
      </c>
    </row>
    <row r="324" spans="1:4" ht="21.75" customHeight="1">
      <c r="A324" s="15" t="s">
        <v>23</v>
      </c>
      <c r="B324" s="16" t="s">
        <v>24</v>
      </c>
      <c r="C324" s="15" t="str">
        <f>"20190111422"</f>
        <v>20190111422</v>
      </c>
      <c r="D324" s="17" t="s">
        <v>12</v>
      </c>
    </row>
    <row r="325" spans="1:4" ht="21.75" customHeight="1">
      <c r="A325" s="15" t="s">
        <v>23</v>
      </c>
      <c r="B325" s="16" t="s">
        <v>24</v>
      </c>
      <c r="C325" s="15" t="str">
        <f>"20190111423"</f>
        <v>20190111423</v>
      </c>
      <c r="D325" s="17" t="s">
        <v>12</v>
      </c>
    </row>
    <row r="326" spans="1:4" ht="21.75" customHeight="1">
      <c r="A326" s="15" t="s">
        <v>23</v>
      </c>
      <c r="B326" s="16" t="s">
        <v>24</v>
      </c>
      <c r="C326" s="15" t="str">
        <f>"20190111424"</f>
        <v>20190111424</v>
      </c>
      <c r="D326" s="17" t="s">
        <v>12</v>
      </c>
    </row>
    <row r="327" spans="1:4" ht="21.75" customHeight="1">
      <c r="A327" s="15" t="s">
        <v>23</v>
      </c>
      <c r="B327" s="16" t="s">
        <v>24</v>
      </c>
      <c r="C327" s="15" t="str">
        <f>"20190111425"</f>
        <v>20190111425</v>
      </c>
      <c r="D327" s="17">
        <v>59</v>
      </c>
    </row>
    <row r="328" spans="1:5" ht="21.75" customHeight="1">
      <c r="A328" s="15" t="s">
        <v>23</v>
      </c>
      <c r="B328" s="16" t="s">
        <v>24</v>
      </c>
      <c r="C328" s="15" t="str">
        <f>"20190111426"</f>
        <v>20190111426</v>
      </c>
      <c r="D328" s="17">
        <v>68.5</v>
      </c>
      <c r="E328" s="18" t="s">
        <v>9</v>
      </c>
    </row>
    <row r="329" spans="1:5" ht="21.75" customHeight="1">
      <c r="A329" s="15" t="s">
        <v>23</v>
      </c>
      <c r="B329" s="16" t="s">
        <v>24</v>
      </c>
      <c r="C329" s="15" t="str">
        <f>"20190111427"</f>
        <v>20190111427</v>
      </c>
      <c r="D329" s="17">
        <v>66</v>
      </c>
      <c r="E329" s="18" t="s">
        <v>9</v>
      </c>
    </row>
    <row r="330" spans="1:4" ht="21.75" customHeight="1">
      <c r="A330" s="15" t="s">
        <v>23</v>
      </c>
      <c r="B330" s="16" t="s">
        <v>24</v>
      </c>
      <c r="C330" s="15" t="str">
        <f>"20190111428"</f>
        <v>20190111428</v>
      </c>
      <c r="D330" s="17">
        <v>58.5</v>
      </c>
    </row>
    <row r="331" spans="1:4" ht="21.75" customHeight="1">
      <c r="A331" s="15" t="s">
        <v>23</v>
      </c>
      <c r="B331" s="16" t="s">
        <v>24</v>
      </c>
      <c r="C331" s="15" t="str">
        <f>"20190111429"</f>
        <v>20190111429</v>
      </c>
      <c r="D331" s="17" t="s">
        <v>12</v>
      </c>
    </row>
    <row r="332" spans="1:4" ht="21.75" customHeight="1">
      <c r="A332" s="15" t="s">
        <v>23</v>
      </c>
      <c r="B332" s="16" t="s">
        <v>24</v>
      </c>
      <c r="C332" s="15" t="str">
        <f>"20190111430"</f>
        <v>20190111430</v>
      </c>
      <c r="D332" s="17">
        <v>60</v>
      </c>
    </row>
    <row r="333" spans="1:4" ht="21.75" customHeight="1">
      <c r="A333" s="15" t="s">
        <v>23</v>
      </c>
      <c r="B333" s="16" t="s">
        <v>24</v>
      </c>
      <c r="C333" s="15" t="str">
        <f>"20190111501"</f>
        <v>20190111501</v>
      </c>
      <c r="D333" s="17">
        <v>58.5</v>
      </c>
    </row>
    <row r="334" spans="1:4" ht="21.75" customHeight="1">
      <c r="A334" s="15" t="s">
        <v>23</v>
      </c>
      <c r="B334" s="16" t="s">
        <v>24</v>
      </c>
      <c r="C334" s="15" t="str">
        <f>"20190111502"</f>
        <v>20190111502</v>
      </c>
      <c r="D334" s="17">
        <v>57</v>
      </c>
    </row>
    <row r="335" spans="1:4" ht="21.75" customHeight="1">
      <c r="A335" s="15" t="s">
        <v>23</v>
      </c>
      <c r="B335" s="16" t="s">
        <v>24</v>
      </c>
      <c r="C335" s="15" t="str">
        <f>"20190111503"</f>
        <v>20190111503</v>
      </c>
      <c r="D335" s="17">
        <v>57</v>
      </c>
    </row>
    <row r="336" spans="1:4" ht="21.75" customHeight="1">
      <c r="A336" s="15" t="s">
        <v>23</v>
      </c>
      <c r="B336" s="16" t="s">
        <v>24</v>
      </c>
      <c r="C336" s="15" t="str">
        <f>"20190111504"</f>
        <v>20190111504</v>
      </c>
      <c r="D336" s="17" t="s">
        <v>12</v>
      </c>
    </row>
    <row r="337" spans="1:4" ht="21.75" customHeight="1">
      <c r="A337" s="15" t="s">
        <v>23</v>
      </c>
      <c r="B337" s="16" t="s">
        <v>24</v>
      </c>
      <c r="C337" s="15" t="str">
        <f>"20190111505"</f>
        <v>20190111505</v>
      </c>
      <c r="D337" s="17">
        <v>64</v>
      </c>
    </row>
    <row r="338" spans="1:5" ht="21.75" customHeight="1">
      <c r="A338" s="15" t="s">
        <v>23</v>
      </c>
      <c r="B338" s="16" t="s">
        <v>24</v>
      </c>
      <c r="C338" s="15" t="str">
        <f>"20190111506"</f>
        <v>20190111506</v>
      </c>
      <c r="D338" s="17">
        <v>59</v>
      </c>
      <c r="E338" s="19"/>
    </row>
    <row r="339" spans="1:5" ht="21.75" customHeight="1">
      <c r="A339" s="15" t="s">
        <v>23</v>
      </c>
      <c r="B339" s="16" t="s">
        <v>24</v>
      </c>
      <c r="C339" s="15" t="str">
        <f>"20190111507"</f>
        <v>20190111507</v>
      </c>
      <c r="D339" s="17" t="s">
        <v>12</v>
      </c>
      <c r="E339" s="19"/>
    </row>
    <row r="340" spans="1:5" ht="21.75" customHeight="1">
      <c r="A340" s="15" t="s">
        <v>23</v>
      </c>
      <c r="B340" s="16" t="s">
        <v>24</v>
      </c>
      <c r="C340" s="15" t="str">
        <f>"20190111508"</f>
        <v>20190111508</v>
      </c>
      <c r="D340" s="17" t="s">
        <v>12</v>
      </c>
      <c r="E340" s="19"/>
    </row>
    <row r="341" spans="1:4" ht="21.75" customHeight="1">
      <c r="A341" s="15" t="s">
        <v>23</v>
      </c>
      <c r="B341" s="16" t="s">
        <v>24</v>
      </c>
      <c r="C341" s="15" t="str">
        <f>"20190111509"</f>
        <v>20190111509</v>
      </c>
      <c r="D341" s="17">
        <v>62.5</v>
      </c>
    </row>
    <row r="342" spans="1:4" ht="21.75" customHeight="1">
      <c r="A342" s="15" t="s">
        <v>23</v>
      </c>
      <c r="B342" s="16" t="s">
        <v>24</v>
      </c>
      <c r="C342" s="15" t="str">
        <f>"20190111510"</f>
        <v>20190111510</v>
      </c>
      <c r="D342" s="17" t="s">
        <v>12</v>
      </c>
    </row>
    <row r="343" spans="1:4" ht="21.75" customHeight="1">
      <c r="A343" s="15" t="s">
        <v>23</v>
      </c>
      <c r="B343" s="16" t="s">
        <v>24</v>
      </c>
      <c r="C343" s="15" t="str">
        <f>"20190111511"</f>
        <v>20190111511</v>
      </c>
      <c r="D343" s="17" t="s">
        <v>12</v>
      </c>
    </row>
    <row r="344" spans="1:4" ht="21.75" customHeight="1">
      <c r="A344" s="15" t="s">
        <v>23</v>
      </c>
      <c r="B344" s="16" t="s">
        <v>24</v>
      </c>
      <c r="C344" s="15" t="str">
        <f>"20190111512"</f>
        <v>20190111512</v>
      </c>
      <c r="D344" s="17">
        <v>60.5</v>
      </c>
    </row>
    <row r="345" spans="1:4" ht="21.75" customHeight="1">
      <c r="A345" s="15" t="s">
        <v>23</v>
      </c>
      <c r="B345" s="16" t="s">
        <v>24</v>
      </c>
      <c r="C345" s="15" t="str">
        <f>"20190111513"</f>
        <v>20190111513</v>
      </c>
      <c r="D345" s="17" t="s">
        <v>12</v>
      </c>
    </row>
    <row r="346" spans="1:4" ht="21.75" customHeight="1">
      <c r="A346" s="15" t="s">
        <v>23</v>
      </c>
      <c r="B346" s="16" t="s">
        <v>24</v>
      </c>
      <c r="C346" s="15" t="str">
        <f>"20190111514"</f>
        <v>20190111514</v>
      </c>
      <c r="D346" s="17">
        <v>64</v>
      </c>
    </row>
    <row r="347" spans="1:4" ht="21.75" customHeight="1">
      <c r="A347" s="15" t="s">
        <v>23</v>
      </c>
      <c r="B347" s="16" t="s">
        <v>24</v>
      </c>
      <c r="C347" s="15" t="str">
        <f>"20190111515"</f>
        <v>20190111515</v>
      </c>
      <c r="D347" s="17" t="s">
        <v>12</v>
      </c>
    </row>
    <row r="348" spans="1:5" ht="21.75" customHeight="1">
      <c r="A348" s="15" t="s">
        <v>23</v>
      </c>
      <c r="B348" s="16" t="s">
        <v>24</v>
      </c>
      <c r="C348" s="15" t="str">
        <f>"20190111516"</f>
        <v>20190111516</v>
      </c>
      <c r="D348" s="17">
        <v>70</v>
      </c>
      <c r="E348" s="18" t="s">
        <v>9</v>
      </c>
    </row>
    <row r="349" spans="1:4" ht="21.75" customHeight="1">
      <c r="A349" s="15" t="s">
        <v>23</v>
      </c>
      <c r="B349" s="16" t="s">
        <v>24</v>
      </c>
      <c r="C349" s="15" t="str">
        <f>"20190111517"</f>
        <v>20190111517</v>
      </c>
      <c r="D349" s="17">
        <v>63</v>
      </c>
    </row>
    <row r="350" spans="1:4" ht="21.75" customHeight="1">
      <c r="A350" s="15" t="s">
        <v>23</v>
      </c>
      <c r="B350" s="16" t="s">
        <v>24</v>
      </c>
      <c r="C350" s="15" t="str">
        <f>"20190111518"</f>
        <v>20190111518</v>
      </c>
      <c r="D350" s="17">
        <v>61.5</v>
      </c>
    </row>
    <row r="351" spans="1:4" ht="21.75" customHeight="1">
      <c r="A351" s="15" t="s">
        <v>23</v>
      </c>
      <c r="B351" s="16" t="s">
        <v>24</v>
      </c>
      <c r="C351" s="15" t="str">
        <f>"20190111519"</f>
        <v>20190111519</v>
      </c>
      <c r="D351" s="17">
        <v>48.5</v>
      </c>
    </row>
    <row r="352" spans="1:4" ht="21.75" customHeight="1">
      <c r="A352" s="15" t="s">
        <v>23</v>
      </c>
      <c r="B352" s="16" t="s">
        <v>24</v>
      </c>
      <c r="C352" s="15" t="str">
        <f>"20190111520"</f>
        <v>20190111520</v>
      </c>
      <c r="D352" s="17" t="s">
        <v>12</v>
      </c>
    </row>
    <row r="353" spans="1:4" ht="21.75" customHeight="1">
      <c r="A353" s="15" t="s">
        <v>23</v>
      </c>
      <c r="B353" s="16" t="s">
        <v>24</v>
      </c>
      <c r="C353" s="15" t="str">
        <f>"20190111521"</f>
        <v>20190111521</v>
      </c>
      <c r="D353" s="17" t="s">
        <v>12</v>
      </c>
    </row>
    <row r="354" spans="1:4" ht="21.75" customHeight="1">
      <c r="A354" s="15" t="s">
        <v>23</v>
      </c>
      <c r="B354" s="16" t="s">
        <v>24</v>
      </c>
      <c r="C354" s="15" t="str">
        <f>"20190111522"</f>
        <v>20190111522</v>
      </c>
      <c r="D354" s="17">
        <v>61.5</v>
      </c>
    </row>
    <row r="355" spans="1:4" ht="21.75" customHeight="1">
      <c r="A355" s="15" t="s">
        <v>23</v>
      </c>
      <c r="B355" s="16" t="s">
        <v>24</v>
      </c>
      <c r="C355" s="15" t="str">
        <f>"20190111523"</f>
        <v>20190111523</v>
      </c>
      <c r="D355" s="17">
        <v>57</v>
      </c>
    </row>
    <row r="356" spans="1:4" ht="21.75" customHeight="1">
      <c r="A356" s="15" t="s">
        <v>23</v>
      </c>
      <c r="B356" s="16" t="s">
        <v>24</v>
      </c>
      <c r="C356" s="15" t="str">
        <f>"20190111524"</f>
        <v>20190111524</v>
      </c>
      <c r="D356" s="17">
        <v>57</v>
      </c>
    </row>
    <row r="357" spans="1:5" ht="21.75" customHeight="1">
      <c r="A357" s="15" t="s">
        <v>23</v>
      </c>
      <c r="B357" s="16" t="s">
        <v>24</v>
      </c>
      <c r="C357" s="15" t="str">
        <f>"20190111525"</f>
        <v>20190111525</v>
      </c>
      <c r="D357" s="17">
        <v>66</v>
      </c>
      <c r="E357" s="18" t="s">
        <v>9</v>
      </c>
    </row>
    <row r="358" spans="1:4" ht="21.75" customHeight="1">
      <c r="A358" s="15" t="s">
        <v>23</v>
      </c>
      <c r="B358" s="16" t="s">
        <v>24</v>
      </c>
      <c r="C358" s="15" t="str">
        <f>"20190111526"</f>
        <v>20190111526</v>
      </c>
      <c r="D358" s="17" t="s">
        <v>12</v>
      </c>
    </row>
    <row r="359" spans="1:4" ht="21.75" customHeight="1">
      <c r="A359" s="15" t="s">
        <v>23</v>
      </c>
      <c r="B359" s="16" t="s">
        <v>24</v>
      </c>
      <c r="C359" s="15" t="str">
        <f>"20190111527"</f>
        <v>20190111527</v>
      </c>
      <c r="D359" s="17">
        <v>57.5</v>
      </c>
    </row>
    <row r="360" spans="1:4" ht="21.75" customHeight="1">
      <c r="A360" s="15" t="s">
        <v>23</v>
      </c>
      <c r="B360" s="16" t="s">
        <v>24</v>
      </c>
      <c r="C360" s="15" t="str">
        <f>"20190111528"</f>
        <v>20190111528</v>
      </c>
      <c r="D360" s="17">
        <v>62.5</v>
      </c>
    </row>
    <row r="361" spans="1:4" ht="21.75" customHeight="1">
      <c r="A361" s="15" t="s">
        <v>23</v>
      </c>
      <c r="B361" s="16" t="s">
        <v>24</v>
      </c>
      <c r="C361" s="15" t="str">
        <f>"20190111529"</f>
        <v>20190111529</v>
      </c>
      <c r="D361" s="17">
        <v>59.5</v>
      </c>
    </row>
    <row r="362" spans="1:4" ht="21.75" customHeight="1">
      <c r="A362" s="15" t="s">
        <v>23</v>
      </c>
      <c r="B362" s="16" t="s">
        <v>24</v>
      </c>
      <c r="C362" s="15" t="str">
        <f>"20190111530"</f>
        <v>20190111530</v>
      </c>
      <c r="D362" s="17">
        <v>58.5</v>
      </c>
    </row>
    <row r="363" spans="1:4" ht="21.75" customHeight="1">
      <c r="A363" s="15" t="s">
        <v>23</v>
      </c>
      <c r="B363" s="16" t="s">
        <v>24</v>
      </c>
      <c r="C363" s="15" t="str">
        <f>"20190111601"</f>
        <v>20190111601</v>
      </c>
      <c r="D363" s="17">
        <v>65</v>
      </c>
    </row>
    <row r="364" spans="1:5" ht="21.75" customHeight="1">
      <c r="A364" s="15" t="s">
        <v>23</v>
      </c>
      <c r="B364" s="16" t="s">
        <v>24</v>
      </c>
      <c r="C364" s="15" t="str">
        <f>"20190111602"</f>
        <v>20190111602</v>
      </c>
      <c r="D364" s="17">
        <v>73</v>
      </c>
      <c r="E364" s="18" t="s">
        <v>9</v>
      </c>
    </row>
    <row r="365" spans="1:4" ht="21.75" customHeight="1">
      <c r="A365" s="15" t="s">
        <v>23</v>
      </c>
      <c r="B365" s="16" t="s">
        <v>24</v>
      </c>
      <c r="C365" s="15" t="str">
        <f>"20190111603"</f>
        <v>20190111603</v>
      </c>
      <c r="D365" s="17" t="s">
        <v>12</v>
      </c>
    </row>
    <row r="366" spans="1:4" ht="21.75" customHeight="1">
      <c r="A366" s="15" t="s">
        <v>23</v>
      </c>
      <c r="B366" s="16" t="s">
        <v>24</v>
      </c>
      <c r="C366" s="15" t="str">
        <f>"20190111604"</f>
        <v>20190111604</v>
      </c>
      <c r="D366" s="17">
        <v>59</v>
      </c>
    </row>
    <row r="367" spans="1:4" ht="21.75" customHeight="1">
      <c r="A367" s="15" t="s">
        <v>23</v>
      </c>
      <c r="B367" s="16" t="s">
        <v>24</v>
      </c>
      <c r="C367" s="15" t="str">
        <f>"20190111605"</f>
        <v>20190111605</v>
      </c>
      <c r="D367" s="17">
        <v>65</v>
      </c>
    </row>
    <row r="368" spans="1:4" ht="21.75" customHeight="1">
      <c r="A368" s="15" t="s">
        <v>23</v>
      </c>
      <c r="B368" s="16" t="s">
        <v>24</v>
      </c>
      <c r="C368" s="15" t="str">
        <f>"20190111606"</f>
        <v>20190111606</v>
      </c>
      <c r="D368" s="17" t="s">
        <v>12</v>
      </c>
    </row>
    <row r="369" spans="1:4" ht="21.75" customHeight="1">
      <c r="A369" s="15" t="s">
        <v>23</v>
      </c>
      <c r="B369" s="16" t="s">
        <v>24</v>
      </c>
      <c r="C369" s="15" t="str">
        <f>"20190111607"</f>
        <v>20190111607</v>
      </c>
      <c r="D369" s="17">
        <v>63</v>
      </c>
    </row>
    <row r="370" spans="1:4" ht="21.75" customHeight="1">
      <c r="A370" s="15" t="s">
        <v>23</v>
      </c>
      <c r="B370" s="16" t="s">
        <v>24</v>
      </c>
      <c r="C370" s="15" t="str">
        <f>"20190111608"</f>
        <v>20190111608</v>
      </c>
      <c r="D370" s="17">
        <v>53.5</v>
      </c>
    </row>
    <row r="371" spans="1:4" ht="21.75" customHeight="1">
      <c r="A371" s="15" t="s">
        <v>23</v>
      </c>
      <c r="B371" s="16" t="s">
        <v>24</v>
      </c>
      <c r="C371" s="15" t="str">
        <f>"20190111609"</f>
        <v>20190111609</v>
      </c>
      <c r="D371" s="17" t="s">
        <v>12</v>
      </c>
    </row>
    <row r="372" spans="1:4" ht="21.75" customHeight="1">
      <c r="A372" s="15" t="s">
        <v>23</v>
      </c>
      <c r="B372" s="16" t="s">
        <v>24</v>
      </c>
      <c r="C372" s="15" t="str">
        <f>"20190111610"</f>
        <v>20190111610</v>
      </c>
      <c r="D372" s="17" t="s">
        <v>12</v>
      </c>
    </row>
    <row r="373" spans="1:4" ht="21.75" customHeight="1">
      <c r="A373" s="15" t="s">
        <v>23</v>
      </c>
      <c r="B373" s="16" t="s">
        <v>24</v>
      </c>
      <c r="C373" s="15" t="str">
        <f>"20190111611"</f>
        <v>20190111611</v>
      </c>
      <c r="D373" s="17">
        <v>63.5</v>
      </c>
    </row>
    <row r="374" spans="1:4" ht="21.75" customHeight="1">
      <c r="A374" s="15" t="s">
        <v>23</v>
      </c>
      <c r="B374" s="16" t="s">
        <v>24</v>
      </c>
      <c r="C374" s="15" t="str">
        <f>"20190111612"</f>
        <v>20190111612</v>
      </c>
      <c r="D374" s="17">
        <v>57.5</v>
      </c>
    </row>
    <row r="375" spans="1:4" ht="21.75" customHeight="1">
      <c r="A375" s="15" t="s">
        <v>23</v>
      </c>
      <c r="B375" s="16" t="s">
        <v>24</v>
      </c>
      <c r="C375" s="15" t="str">
        <f>"20190111613"</f>
        <v>20190111613</v>
      </c>
      <c r="D375" s="17">
        <v>62</v>
      </c>
    </row>
    <row r="376" spans="1:5" ht="21.75" customHeight="1">
      <c r="A376" s="15" t="s">
        <v>25</v>
      </c>
      <c r="B376" s="16" t="s">
        <v>22</v>
      </c>
      <c r="C376" s="15" t="str">
        <f>"20190111614"</f>
        <v>20190111614</v>
      </c>
      <c r="D376" s="17">
        <v>60.5</v>
      </c>
      <c r="E376" s="18" t="s">
        <v>9</v>
      </c>
    </row>
    <row r="377" spans="1:4" ht="21.75" customHeight="1">
      <c r="A377" s="15" t="s">
        <v>25</v>
      </c>
      <c r="B377" s="16" t="s">
        <v>22</v>
      </c>
      <c r="C377" s="15" t="str">
        <f>"20190111615"</f>
        <v>20190111615</v>
      </c>
      <c r="D377" s="17" t="s">
        <v>12</v>
      </c>
    </row>
    <row r="378" spans="1:4" ht="21.75" customHeight="1">
      <c r="A378" s="15" t="s">
        <v>25</v>
      </c>
      <c r="B378" s="16" t="s">
        <v>22</v>
      </c>
      <c r="C378" s="15" t="str">
        <f>"20190111616"</f>
        <v>20190111616</v>
      </c>
      <c r="D378" s="17" t="s">
        <v>12</v>
      </c>
    </row>
    <row r="379" spans="1:5" ht="21.75" customHeight="1">
      <c r="A379" s="15" t="s">
        <v>25</v>
      </c>
      <c r="B379" s="16" t="s">
        <v>22</v>
      </c>
      <c r="C379" s="15" t="str">
        <f>"20190111617"</f>
        <v>20190111617</v>
      </c>
      <c r="D379" s="17">
        <v>61.5</v>
      </c>
      <c r="E379" s="18" t="s">
        <v>9</v>
      </c>
    </row>
    <row r="380" spans="1:4" ht="21.75" customHeight="1">
      <c r="A380" s="15" t="s">
        <v>25</v>
      </c>
      <c r="B380" s="16" t="s">
        <v>22</v>
      </c>
      <c r="C380" s="15" t="str">
        <f>"20190111618"</f>
        <v>20190111618</v>
      </c>
      <c r="D380" s="17">
        <v>55.5</v>
      </c>
    </row>
    <row r="381" spans="1:4" ht="21.75" customHeight="1">
      <c r="A381" s="15" t="s">
        <v>25</v>
      </c>
      <c r="B381" s="16" t="s">
        <v>22</v>
      </c>
      <c r="C381" s="15" t="str">
        <f>"20190111619"</f>
        <v>20190111619</v>
      </c>
      <c r="D381" s="17" t="s">
        <v>12</v>
      </c>
    </row>
    <row r="382" spans="1:4" ht="21.75" customHeight="1">
      <c r="A382" s="15" t="s">
        <v>25</v>
      </c>
      <c r="B382" s="16" t="s">
        <v>22</v>
      </c>
      <c r="C382" s="15" t="str">
        <f>"20190111620"</f>
        <v>20190111620</v>
      </c>
      <c r="D382" s="17">
        <v>57</v>
      </c>
    </row>
    <row r="383" spans="1:4" ht="21.75" customHeight="1">
      <c r="A383" s="15" t="s">
        <v>25</v>
      </c>
      <c r="B383" s="16" t="s">
        <v>22</v>
      </c>
      <c r="C383" s="15" t="str">
        <f>"20190111621"</f>
        <v>20190111621</v>
      </c>
      <c r="D383" s="17">
        <v>57</v>
      </c>
    </row>
    <row r="384" spans="1:4" ht="21.75" customHeight="1">
      <c r="A384" s="15" t="s">
        <v>25</v>
      </c>
      <c r="B384" s="16" t="s">
        <v>22</v>
      </c>
      <c r="C384" s="15" t="str">
        <f>"20190111622"</f>
        <v>20190111622</v>
      </c>
      <c r="D384" s="17">
        <v>59.5</v>
      </c>
    </row>
    <row r="385" spans="1:4" ht="21.75" customHeight="1">
      <c r="A385" s="15" t="s">
        <v>25</v>
      </c>
      <c r="B385" s="16" t="s">
        <v>22</v>
      </c>
      <c r="C385" s="15" t="str">
        <f>"20190111623"</f>
        <v>20190111623</v>
      </c>
      <c r="D385" s="17">
        <v>51</v>
      </c>
    </row>
    <row r="386" spans="1:5" ht="21.75" customHeight="1">
      <c r="A386" s="15" t="s">
        <v>25</v>
      </c>
      <c r="B386" s="16" t="s">
        <v>22</v>
      </c>
      <c r="C386" s="15" t="str">
        <f>"20190111624"</f>
        <v>20190111624</v>
      </c>
      <c r="D386" s="17">
        <v>62</v>
      </c>
      <c r="E386" s="18" t="s">
        <v>9</v>
      </c>
    </row>
    <row r="387" spans="1:4" ht="21.75" customHeight="1">
      <c r="A387" s="15" t="s">
        <v>25</v>
      </c>
      <c r="B387" s="16" t="s">
        <v>22</v>
      </c>
      <c r="C387" s="15" t="str">
        <f>"20190111625"</f>
        <v>20190111625</v>
      </c>
      <c r="D387" s="17">
        <v>55.5</v>
      </c>
    </row>
    <row r="388" spans="1:4" ht="21.75" customHeight="1">
      <c r="A388" s="15" t="s">
        <v>25</v>
      </c>
      <c r="B388" s="16" t="s">
        <v>22</v>
      </c>
      <c r="C388" s="15" t="str">
        <f>"20190111626"</f>
        <v>20190111626</v>
      </c>
      <c r="D388" s="17">
        <v>58</v>
      </c>
    </row>
    <row r="389" spans="1:4" ht="21.75" customHeight="1">
      <c r="A389" s="15" t="s">
        <v>25</v>
      </c>
      <c r="B389" s="16" t="s">
        <v>22</v>
      </c>
      <c r="C389" s="15" t="str">
        <f>"20190111627"</f>
        <v>20190111627</v>
      </c>
      <c r="D389" s="17">
        <v>58</v>
      </c>
    </row>
    <row r="390" spans="1:4" ht="21.75" customHeight="1">
      <c r="A390" s="15" t="s">
        <v>26</v>
      </c>
      <c r="B390" s="16" t="s">
        <v>27</v>
      </c>
      <c r="C390" s="15" t="str">
        <f>"20190111628"</f>
        <v>20190111628</v>
      </c>
      <c r="D390" s="17" t="s">
        <v>12</v>
      </c>
    </row>
    <row r="391" spans="1:5" ht="21.75" customHeight="1">
      <c r="A391" s="15" t="s">
        <v>26</v>
      </c>
      <c r="B391" s="16" t="s">
        <v>27</v>
      </c>
      <c r="C391" s="15" t="str">
        <f>"20190111629"</f>
        <v>20190111629</v>
      </c>
      <c r="D391" s="17">
        <v>58</v>
      </c>
      <c r="E391" s="19"/>
    </row>
    <row r="392" spans="1:5" ht="21.75" customHeight="1">
      <c r="A392" s="15" t="s">
        <v>26</v>
      </c>
      <c r="B392" s="16" t="s">
        <v>27</v>
      </c>
      <c r="C392" s="15" t="str">
        <f>"20190111630"</f>
        <v>20190111630</v>
      </c>
      <c r="D392" s="17">
        <v>55</v>
      </c>
      <c r="E392" s="19"/>
    </row>
    <row r="393" spans="1:5" ht="21.75" customHeight="1">
      <c r="A393" s="15" t="s">
        <v>26</v>
      </c>
      <c r="B393" s="16" t="s">
        <v>27</v>
      </c>
      <c r="C393" s="15" t="str">
        <f>"20190111701"</f>
        <v>20190111701</v>
      </c>
      <c r="D393" s="17" t="s">
        <v>12</v>
      </c>
      <c r="E393" s="19"/>
    </row>
    <row r="394" spans="1:4" ht="21.75" customHeight="1">
      <c r="A394" s="15" t="s">
        <v>26</v>
      </c>
      <c r="B394" s="16" t="s">
        <v>27</v>
      </c>
      <c r="C394" s="15" t="str">
        <f>"20190111702"</f>
        <v>20190111702</v>
      </c>
      <c r="D394" s="17">
        <v>62.5</v>
      </c>
    </row>
    <row r="395" spans="1:4" ht="21.75" customHeight="1">
      <c r="A395" s="15" t="s">
        <v>26</v>
      </c>
      <c r="B395" s="16" t="s">
        <v>27</v>
      </c>
      <c r="C395" s="15" t="str">
        <f>"20190111703"</f>
        <v>20190111703</v>
      </c>
      <c r="D395" s="17">
        <v>63</v>
      </c>
    </row>
    <row r="396" spans="1:4" ht="21.75" customHeight="1">
      <c r="A396" s="15" t="s">
        <v>26</v>
      </c>
      <c r="B396" s="16" t="s">
        <v>27</v>
      </c>
      <c r="C396" s="15" t="str">
        <f>"20190111704"</f>
        <v>20190111704</v>
      </c>
      <c r="D396" s="17">
        <v>52</v>
      </c>
    </row>
    <row r="397" spans="1:4" ht="21.75" customHeight="1">
      <c r="A397" s="15" t="s">
        <v>26</v>
      </c>
      <c r="B397" s="16" t="s">
        <v>27</v>
      </c>
      <c r="C397" s="15" t="str">
        <f>"20190111705"</f>
        <v>20190111705</v>
      </c>
      <c r="D397" s="17">
        <v>59</v>
      </c>
    </row>
    <row r="398" spans="1:4" ht="21.75" customHeight="1">
      <c r="A398" s="15" t="s">
        <v>26</v>
      </c>
      <c r="B398" s="16" t="s">
        <v>27</v>
      </c>
      <c r="C398" s="15" t="str">
        <f>"20190111706"</f>
        <v>20190111706</v>
      </c>
      <c r="D398" s="17">
        <v>72.5</v>
      </c>
    </row>
    <row r="399" spans="1:4" ht="21.75" customHeight="1">
      <c r="A399" s="15" t="s">
        <v>26</v>
      </c>
      <c r="B399" s="16" t="s">
        <v>27</v>
      </c>
      <c r="C399" s="15" t="str">
        <f>"20190111707"</f>
        <v>20190111707</v>
      </c>
      <c r="D399" s="17" t="s">
        <v>12</v>
      </c>
    </row>
    <row r="400" spans="1:4" ht="21.75" customHeight="1">
      <c r="A400" s="15" t="s">
        <v>26</v>
      </c>
      <c r="B400" s="16" t="s">
        <v>27</v>
      </c>
      <c r="C400" s="15" t="str">
        <f>"20190111708"</f>
        <v>20190111708</v>
      </c>
      <c r="D400" s="17">
        <v>57</v>
      </c>
    </row>
    <row r="401" spans="1:4" ht="21.75" customHeight="1">
      <c r="A401" s="15" t="s">
        <v>26</v>
      </c>
      <c r="B401" s="16" t="s">
        <v>27</v>
      </c>
      <c r="C401" s="15" t="str">
        <f>"20190111709"</f>
        <v>20190111709</v>
      </c>
      <c r="D401" s="17">
        <v>61</v>
      </c>
    </row>
    <row r="402" spans="1:4" ht="21.75" customHeight="1">
      <c r="A402" s="15" t="s">
        <v>26</v>
      </c>
      <c r="B402" s="16" t="s">
        <v>27</v>
      </c>
      <c r="C402" s="15" t="str">
        <f>"20190111710"</f>
        <v>20190111710</v>
      </c>
      <c r="D402" s="17">
        <v>68</v>
      </c>
    </row>
    <row r="403" spans="1:4" ht="21.75" customHeight="1">
      <c r="A403" s="15" t="s">
        <v>26</v>
      </c>
      <c r="B403" s="16" t="s">
        <v>27</v>
      </c>
      <c r="C403" s="15" t="str">
        <f>"20190111711"</f>
        <v>20190111711</v>
      </c>
      <c r="D403" s="17">
        <v>65</v>
      </c>
    </row>
    <row r="404" spans="1:4" ht="21.75" customHeight="1">
      <c r="A404" s="15" t="s">
        <v>26</v>
      </c>
      <c r="B404" s="16" t="s">
        <v>27</v>
      </c>
      <c r="C404" s="15" t="str">
        <f>"20190111712"</f>
        <v>20190111712</v>
      </c>
      <c r="D404" s="17">
        <v>60</v>
      </c>
    </row>
    <row r="405" spans="1:4" ht="21.75" customHeight="1">
      <c r="A405" s="15" t="s">
        <v>26</v>
      </c>
      <c r="B405" s="16" t="s">
        <v>27</v>
      </c>
      <c r="C405" s="15" t="str">
        <f>"20190111713"</f>
        <v>20190111713</v>
      </c>
      <c r="D405" s="17">
        <v>62</v>
      </c>
    </row>
    <row r="406" spans="1:4" ht="21.75" customHeight="1">
      <c r="A406" s="15" t="s">
        <v>26</v>
      </c>
      <c r="B406" s="16" t="s">
        <v>27</v>
      </c>
      <c r="C406" s="15" t="str">
        <f>"20190111714"</f>
        <v>20190111714</v>
      </c>
      <c r="D406" s="17">
        <v>62.5</v>
      </c>
    </row>
    <row r="407" spans="1:4" ht="21.75" customHeight="1">
      <c r="A407" s="15" t="s">
        <v>26</v>
      </c>
      <c r="B407" s="16" t="s">
        <v>27</v>
      </c>
      <c r="C407" s="15" t="str">
        <f>"20190111715"</f>
        <v>20190111715</v>
      </c>
      <c r="D407" s="17">
        <v>65.5</v>
      </c>
    </row>
    <row r="408" spans="1:5" ht="21.75" customHeight="1">
      <c r="A408" s="15" t="s">
        <v>26</v>
      </c>
      <c r="B408" s="16" t="s">
        <v>27</v>
      </c>
      <c r="C408" s="15" t="str">
        <f>"20190111716"</f>
        <v>20190111716</v>
      </c>
      <c r="D408" s="17">
        <v>74.5</v>
      </c>
      <c r="E408" s="18" t="s">
        <v>9</v>
      </c>
    </row>
    <row r="409" spans="1:4" ht="21.75" customHeight="1">
      <c r="A409" s="15" t="s">
        <v>26</v>
      </c>
      <c r="B409" s="16" t="s">
        <v>27</v>
      </c>
      <c r="C409" s="15" t="str">
        <f>"20190111717"</f>
        <v>20190111717</v>
      </c>
      <c r="D409" s="17">
        <v>65.5</v>
      </c>
    </row>
    <row r="410" spans="1:4" ht="21.75" customHeight="1">
      <c r="A410" s="15" t="s">
        <v>26</v>
      </c>
      <c r="B410" s="16" t="s">
        <v>27</v>
      </c>
      <c r="C410" s="15" t="str">
        <f>"20190111718"</f>
        <v>20190111718</v>
      </c>
      <c r="D410" s="17">
        <v>70.5</v>
      </c>
    </row>
    <row r="411" spans="1:4" ht="21.75" customHeight="1">
      <c r="A411" s="15" t="s">
        <v>26</v>
      </c>
      <c r="B411" s="16" t="s">
        <v>27</v>
      </c>
      <c r="C411" s="15" t="str">
        <f>"20190111719"</f>
        <v>20190111719</v>
      </c>
      <c r="D411" s="17">
        <v>59</v>
      </c>
    </row>
    <row r="412" spans="1:4" ht="21.75" customHeight="1">
      <c r="A412" s="15" t="s">
        <v>26</v>
      </c>
      <c r="B412" s="16" t="s">
        <v>27</v>
      </c>
      <c r="C412" s="15" t="str">
        <f>"20190111720"</f>
        <v>20190111720</v>
      </c>
      <c r="D412" s="17">
        <v>61</v>
      </c>
    </row>
    <row r="413" spans="1:5" ht="21.75" customHeight="1">
      <c r="A413" s="15" t="s">
        <v>26</v>
      </c>
      <c r="B413" s="16" t="s">
        <v>27</v>
      </c>
      <c r="C413" s="15" t="str">
        <f>"20190111721"</f>
        <v>20190111721</v>
      </c>
      <c r="D413" s="17">
        <v>73</v>
      </c>
      <c r="E413" s="18" t="s">
        <v>9</v>
      </c>
    </row>
    <row r="414" spans="1:4" ht="21.75" customHeight="1">
      <c r="A414" s="15" t="s">
        <v>26</v>
      </c>
      <c r="B414" s="16" t="s">
        <v>27</v>
      </c>
      <c r="C414" s="15" t="str">
        <f>"20190111722"</f>
        <v>20190111722</v>
      </c>
      <c r="D414" s="17">
        <v>65</v>
      </c>
    </row>
    <row r="415" spans="1:4" ht="21.75" customHeight="1">
      <c r="A415" s="15" t="s">
        <v>26</v>
      </c>
      <c r="B415" s="16" t="s">
        <v>27</v>
      </c>
      <c r="C415" s="15" t="str">
        <f>"20190111723"</f>
        <v>20190111723</v>
      </c>
      <c r="D415" s="17">
        <v>55</v>
      </c>
    </row>
    <row r="416" spans="1:4" ht="21.75" customHeight="1">
      <c r="A416" s="15" t="s">
        <v>26</v>
      </c>
      <c r="B416" s="16" t="s">
        <v>27</v>
      </c>
      <c r="C416" s="15" t="str">
        <f>"20190111724"</f>
        <v>20190111724</v>
      </c>
      <c r="D416" s="17">
        <v>58.5</v>
      </c>
    </row>
    <row r="417" spans="1:4" ht="21.75" customHeight="1">
      <c r="A417" s="15" t="s">
        <v>26</v>
      </c>
      <c r="B417" s="16" t="s">
        <v>27</v>
      </c>
      <c r="C417" s="15" t="str">
        <f>"20190111725"</f>
        <v>20190111725</v>
      </c>
      <c r="D417" s="17">
        <v>54.5</v>
      </c>
    </row>
    <row r="418" spans="1:4" ht="21.75" customHeight="1">
      <c r="A418" s="15" t="s">
        <v>26</v>
      </c>
      <c r="B418" s="16" t="s">
        <v>27</v>
      </c>
      <c r="C418" s="15" t="str">
        <f>"20190111726"</f>
        <v>20190111726</v>
      </c>
      <c r="D418" s="17" t="s">
        <v>12</v>
      </c>
    </row>
    <row r="419" spans="1:4" ht="21.75" customHeight="1">
      <c r="A419" s="15" t="s">
        <v>26</v>
      </c>
      <c r="B419" s="16" t="s">
        <v>27</v>
      </c>
      <c r="C419" s="15" t="str">
        <f>"20190111727"</f>
        <v>20190111727</v>
      </c>
      <c r="D419" s="17" t="s">
        <v>12</v>
      </c>
    </row>
    <row r="420" spans="1:4" ht="21.75" customHeight="1">
      <c r="A420" s="15" t="s">
        <v>26</v>
      </c>
      <c r="B420" s="16" t="s">
        <v>27</v>
      </c>
      <c r="C420" s="15" t="str">
        <f>"20190111728"</f>
        <v>20190111728</v>
      </c>
      <c r="D420" s="17">
        <v>64.5</v>
      </c>
    </row>
    <row r="421" spans="1:4" ht="21.75" customHeight="1">
      <c r="A421" s="15" t="s">
        <v>26</v>
      </c>
      <c r="B421" s="16" t="s">
        <v>27</v>
      </c>
      <c r="C421" s="15" t="str">
        <f>"20190111729"</f>
        <v>20190111729</v>
      </c>
      <c r="D421" s="17">
        <v>52</v>
      </c>
    </row>
    <row r="422" spans="1:4" ht="21.75" customHeight="1">
      <c r="A422" s="15" t="s">
        <v>26</v>
      </c>
      <c r="B422" s="16" t="s">
        <v>27</v>
      </c>
      <c r="C422" s="15" t="str">
        <f>"20190111730"</f>
        <v>20190111730</v>
      </c>
      <c r="D422" s="17">
        <v>63</v>
      </c>
    </row>
    <row r="423" spans="1:4" ht="21.75" customHeight="1">
      <c r="A423" s="15" t="s">
        <v>26</v>
      </c>
      <c r="B423" s="16" t="s">
        <v>27</v>
      </c>
      <c r="C423" s="15" t="str">
        <f>"20190111801"</f>
        <v>20190111801</v>
      </c>
      <c r="D423" s="17">
        <v>34</v>
      </c>
    </row>
    <row r="424" spans="1:4" ht="21.75" customHeight="1">
      <c r="A424" s="15" t="s">
        <v>26</v>
      </c>
      <c r="B424" s="16" t="s">
        <v>27</v>
      </c>
      <c r="C424" s="15" t="str">
        <f>"20190111802"</f>
        <v>20190111802</v>
      </c>
      <c r="D424" s="17">
        <v>58</v>
      </c>
    </row>
    <row r="425" spans="1:4" ht="21.75" customHeight="1">
      <c r="A425" s="15" t="s">
        <v>26</v>
      </c>
      <c r="B425" s="16" t="s">
        <v>27</v>
      </c>
      <c r="C425" s="15" t="str">
        <f>"20190111803"</f>
        <v>20190111803</v>
      </c>
      <c r="D425" s="17" t="s">
        <v>12</v>
      </c>
    </row>
    <row r="426" spans="1:4" ht="21.75" customHeight="1">
      <c r="A426" s="15" t="s">
        <v>26</v>
      </c>
      <c r="B426" s="16" t="s">
        <v>27</v>
      </c>
      <c r="C426" s="15" t="str">
        <f>"20190111804"</f>
        <v>20190111804</v>
      </c>
      <c r="D426" s="17" t="s">
        <v>12</v>
      </c>
    </row>
    <row r="427" spans="1:4" ht="21.75" customHeight="1">
      <c r="A427" s="15" t="s">
        <v>26</v>
      </c>
      <c r="B427" s="16" t="s">
        <v>27</v>
      </c>
      <c r="C427" s="15" t="str">
        <f>"20190111805"</f>
        <v>20190111805</v>
      </c>
      <c r="D427" s="17">
        <v>54.5</v>
      </c>
    </row>
    <row r="428" spans="1:4" ht="21.75" customHeight="1">
      <c r="A428" s="15" t="s">
        <v>26</v>
      </c>
      <c r="B428" s="16" t="s">
        <v>27</v>
      </c>
      <c r="C428" s="15" t="str">
        <f>"20190111806"</f>
        <v>20190111806</v>
      </c>
      <c r="D428" s="17">
        <v>52.5</v>
      </c>
    </row>
    <row r="429" spans="1:4" ht="21.75" customHeight="1">
      <c r="A429" s="15" t="s">
        <v>26</v>
      </c>
      <c r="B429" s="16" t="s">
        <v>27</v>
      </c>
      <c r="C429" s="15" t="str">
        <f>"20190111807"</f>
        <v>20190111807</v>
      </c>
      <c r="D429" s="17" t="s">
        <v>12</v>
      </c>
    </row>
    <row r="430" spans="1:4" ht="21.75" customHeight="1">
      <c r="A430" s="15" t="s">
        <v>26</v>
      </c>
      <c r="B430" s="16" t="s">
        <v>27</v>
      </c>
      <c r="C430" s="15" t="str">
        <f>"20190111808"</f>
        <v>20190111808</v>
      </c>
      <c r="D430" s="17">
        <v>61.5</v>
      </c>
    </row>
    <row r="431" spans="1:4" ht="21.75" customHeight="1">
      <c r="A431" s="15" t="s">
        <v>26</v>
      </c>
      <c r="B431" s="16" t="s">
        <v>27</v>
      </c>
      <c r="C431" s="15" t="str">
        <f>"20190111809"</f>
        <v>20190111809</v>
      </c>
      <c r="D431" s="17">
        <v>60</v>
      </c>
    </row>
    <row r="432" spans="1:4" ht="21.75" customHeight="1">
      <c r="A432" s="15" t="s">
        <v>26</v>
      </c>
      <c r="B432" s="16" t="s">
        <v>27</v>
      </c>
      <c r="C432" s="15" t="str">
        <f>"20190111810"</f>
        <v>20190111810</v>
      </c>
      <c r="D432" s="17">
        <v>54</v>
      </c>
    </row>
    <row r="433" spans="1:5" ht="21.75" customHeight="1">
      <c r="A433" s="15" t="s">
        <v>26</v>
      </c>
      <c r="B433" s="16" t="s">
        <v>27</v>
      </c>
      <c r="C433" s="15" t="str">
        <f>"20190111811"</f>
        <v>20190111811</v>
      </c>
      <c r="D433" s="17">
        <v>46.5</v>
      </c>
      <c r="E433" s="19"/>
    </row>
    <row r="434" spans="1:5" ht="21.75" customHeight="1">
      <c r="A434" s="15" t="s">
        <v>26</v>
      </c>
      <c r="B434" s="16" t="s">
        <v>27</v>
      </c>
      <c r="C434" s="15" t="str">
        <f>"20190111812"</f>
        <v>20190111812</v>
      </c>
      <c r="D434" s="17" t="s">
        <v>12</v>
      </c>
      <c r="E434" s="19"/>
    </row>
    <row r="435" spans="1:5" ht="21.75" customHeight="1">
      <c r="A435" s="15" t="s">
        <v>26</v>
      </c>
      <c r="B435" s="16" t="s">
        <v>27</v>
      </c>
      <c r="C435" s="15" t="str">
        <f>"20190111813"</f>
        <v>20190111813</v>
      </c>
      <c r="D435" s="17">
        <v>62</v>
      </c>
      <c r="E435" s="19"/>
    </row>
    <row r="436" spans="1:5" ht="21.75" customHeight="1">
      <c r="A436" s="15" t="s">
        <v>26</v>
      </c>
      <c r="B436" s="16" t="s">
        <v>27</v>
      </c>
      <c r="C436" s="15" t="str">
        <f>"20190111814"</f>
        <v>20190111814</v>
      </c>
      <c r="D436" s="17">
        <v>73</v>
      </c>
      <c r="E436" s="18" t="s">
        <v>9</v>
      </c>
    </row>
    <row r="437" spans="1:4" ht="21.75" customHeight="1">
      <c r="A437" s="15" t="s">
        <v>26</v>
      </c>
      <c r="B437" s="16" t="s">
        <v>27</v>
      </c>
      <c r="C437" s="15" t="str">
        <f>"20190111815"</f>
        <v>20190111815</v>
      </c>
      <c r="D437" s="17" t="s">
        <v>12</v>
      </c>
    </row>
    <row r="438" spans="1:4" ht="21.75" customHeight="1">
      <c r="A438" s="15" t="s">
        <v>26</v>
      </c>
      <c r="B438" s="16" t="s">
        <v>27</v>
      </c>
      <c r="C438" s="15" t="str">
        <f>"20190111816"</f>
        <v>20190111816</v>
      </c>
      <c r="D438" s="17">
        <v>59.5</v>
      </c>
    </row>
    <row r="439" spans="1:4" ht="21.75" customHeight="1">
      <c r="A439" s="15" t="s">
        <v>26</v>
      </c>
      <c r="B439" s="16" t="s">
        <v>27</v>
      </c>
      <c r="C439" s="15" t="str">
        <f>"20190111817"</f>
        <v>20190111817</v>
      </c>
      <c r="D439" s="17" t="s">
        <v>12</v>
      </c>
    </row>
    <row r="440" spans="1:4" ht="21.75" customHeight="1">
      <c r="A440" s="15" t="s">
        <v>26</v>
      </c>
      <c r="B440" s="16" t="s">
        <v>27</v>
      </c>
      <c r="C440" s="15" t="str">
        <f>"20190111818"</f>
        <v>20190111818</v>
      </c>
      <c r="D440" s="17">
        <v>57.5</v>
      </c>
    </row>
    <row r="441" spans="1:4" ht="21.75" customHeight="1">
      <c r="A441" s="15" t="s">
        <v>26</v>
      </c>
      <c r="B441" s="16" t="s">
        <v>27</v>
      </c>
      <c r="C441" s="15" t="str">
        <f>"20190111819"</f>
        <v>20190111819</v>
      </c>
      <c r="D441" s="17">
        <v>58</v>
      </c>
    </row>
    <row r="442" spans="1:4" ht="21.75" customHeight="1">
      <c r="A442" s="15" t="s">
        <v>26</v>
      </c>
      <c r="B442" s="16" t="s">
        <v>28</v>
      </c>
      <c r="C442" s="15" t="str">
        <f>"20190111820"</f>
        <v>20190111820</v>
      </c>
      <c r="D442" s="17" t="s">
        <v>12</v>
      </c>
    </row>
    <row r="443" spans="1:4" ht="21.75" customHeight="1">
      <c r="A443" s="15" t="s">
        <v>26</v>
      </c>
      <c r="B443" s="16" t="s">
        <v>28</v>
      </c>
      <c r="C443" s="15" t="str">
        <f>"20190111821"</f>
        <v>20190111821</v>
      </c>
      <c r="D443" s="17">
        <v>52</v>
      </c>
    </row>
    <row r="444" spans="1:4" ht="21.75" customHeight="1">
      <c r="A444" s="15" t="s">
        <v>26</v>
      </c>
      <c r="B444" s="16" t="s">
        <v>28</v>
      </c>
      <c r="C444" s="15" t="str">
        <f>"20190111822"</f>
        <v>20190111822</v>
      </c>
      <c r="D444" s="17">
        <v>60</v>
      </c>
    </row>
    <row r="445" spans="1:4" ht="21.75" customHeight="1">
      <c r="A445" s="15" t="s">
        <v>26</v>
      </c>
      <c r="B445" s="16" t="s">
        <v>28</v>
      </c>
      <c r="C445" s="15" t="str">
        <f>"20190111823"</f>
        <v>20190111823</v>
      </c>
      <c r="D445" s="17">
        <v>63</v>
      </c>
    </row>
    <row r="446" spans="1:4" ht="21.75" customHeight="1">
      <c r="A446" s="15" t="s">
        <v>26</v>
      </c>
      <c r="B446" s="16" t="s">
        <v>28</v>
      </c>
      <c r="C446" s="15" t="str">
        <f>"20190111824"</f>
        <v>20190111824</v>
      </c>
      <c r="D446" s="17">
        <v>62.5</v>
      </c>
    </row>
    <row r="447" spans="1:4" ht="21.75" customHeight="1">
      <c r="A447" s="15" t="s">
        <v>26</v>
      </c>
      <c r="B447" s="16" t="s">
        <v>28</v>
      </c>
      <c r="C447" s="15" t="str">
        <f>"20190111825"</f>
        <v>20190111825</v>
      </c>
      <c r="D447" s="17">
        <v>58</v>
      </c>
    </row>
    <row r="448" spans="1:4" ht="21.75" customHeight="1">
      <c r="A448" s="15" t="s">
        <v>26</v>
      </c>
      <c r="B448" s="16" t="s">
        <v>28</v>
      </c>
      <c r="C448" s="15" t="str">
        <f>"20190111826"</f>
        <v>20190111826</v>
      </c>
      <c r="D448" s="17">
        <v>55.5</v>
      </c>
    </row>
    <row r="449" spans="1:4" ht="21.75" customHeight="1">
      <c r="A449" s="15" t="s">
        <v>26</v>
      </c>
      <c r="B449" s="16" t="s">
        <v>28</v>
      </c>
      <c r="C449" s="15" t="str">
        <f>"20190111827"</f>
        <v>20190111827</v>
      </c>
      <c r="D449" s="17" t="s">
        <v>12</v>
      </c>
    </row>
    <row r="450" spans="1:5" ht="21.75" customHeight="1">
      <c r="A450" s="15" t="s">
        <v>26</v>
      </c>
      <c r="B450" s="16" t="s">
        <v>28</v>
      </c>
      <c r="C450" s="15" t="str">
        <f>"20190111828"</f>
        <v>20190111828</v>
      </c>
      <c r="D450" s="17">
        <v>69</v>
      </c>
      <c r="E450" s="18" t="s">
        <v>9</v>
      </c>
    </row>
    <row r="451" spans="1:4" ht="21.75" customHeight="1">
      <c r="A451" s="15" t="s">
        <v>26</v>
      </c>
      <c r="B451" s="16" t="s">
        <v>28</v>
      </c>
      <c r="C451" s="15" t="str">
        <f>"20190111829"</f>
        <v>20190111829</v>
      </c>
      <c r="D451" s="17">
        <v>53.5</v>
      </c>
    </row>
    <row r="452" spans="1:5" ht="21.75" customHeight="1">
      <c r="A452" s="15" t="s">
        <v>26</v>
      </c>
      <c r="B452" s="16" t="s">
        <v>28</v>
      </c>
      <c r="C452" s="15" t="str">
        <f>"20190111830"</f>
        <v>20190111830</v>
      </c>
      <c r="D452" s="17">
        <v>53</v>
      </c>
      <c r="E452" s="19"/>
    </row>
    <row r="453" spans="1:5" ht="21.75" customHeight="1">
      <c r="A453" s="15" t="s">
        <v>26</v>
      </c>
      <c r="B453" s="16" t="s">
        <v>28</v>
      </c>
      <c r="C453" s="15" t="str">
        <f>"20190111901"</f>
        <v>20190111901</v>
      </c>
      <c r="D453" s="17">
        <v>54</v>
      </c>
      <c r="E453" s="19"/>
    </row>
    <row r="454" spans="1:5" ht="21.75" customHeight="1">
      <c r="A454" s="15" t="s">
        <v>26</v>
      </c>
      <c r="B454" s="16" t="s">
        <v>28</v>
      </c>
      <c r="C454" s="15" t="str">
        <f>"20190111902"</f>
        <v>20190111902</v>
      </c>
      <c r="D454" s="17">
        <v>63.5</v>
      </c>
      <c r="E454" s="19"/>
    </row>
    <row r="455" spans="1:4" ht="21.75" customHeight="1">
      <c r="A455" s="15" t="s">
        <v>26</v>
      </c>
      <c r="B455" s="16" t="s">
        <v>28</v>
      </c>
      <c r="C455" s="15" t="str">
        <f>"20190111903"</f>
        <v>20190111903</v>
      </c>
      <c r="D455" s="17">
        <v>54</v>
      </c>
    </row>
    <row r="456" spans="1:4" ht="21.75" customHeight="1">
      <c r="A456" s="15" t="s">
        <v>26</v>
      </c>
      <c r="B456" s="16" t="s">
        <v>28</v>
      </c>
      <c r="C456" s="15" t="str">
        <f>"20190111904"</f>
        <v>20190111904</v>
      </c>
      <c r="D456" s="17">
        <v>34</v>
      </c>
    </row>
    <row r="457" spans="1:4" ht="21.75" customHeight="1">
      <c r="A457" s="15" t="s">
        <v>26</v>
      </c>
      <c r="B457" s="16" t="s">
        <v>28</v>
      </c>
      <c r="C457" s="15" t="str">
        <f>"20190111905"</f>
        <v>20190111905</v>
      </c>
      <c r="D457" s="17">
        <v>55.5</v>
      </c>
    </row>
    <row r="458" spans="1:4" ht="21.75" customHeight="1">
      <c r="A458" s="15" t="s">
        <v>26</v>
      </c>
      <c r="B458" s="16" t="s">
        <v>28</v>
      </c>
      <c r="C458" s="15" t="str">
        <f>"20190111906"</f>
        <v>20190111906</v>
      </c>
      <c r="D458" s="17">
        <v>59</v>
      </c>
    </row>
    <row r="459" spans="1:4" ht="21.75" customHeight="1">
      <c r="A459" s="15" t="s">
        <v>26</v>
      </c>
      <c r="B459" s="16" t="s">
        <v>28</v>
      </c>
      <c r="C459" s="15" t="str">
        <f>"20190111907"</f>
        <v>20190111907</v>
      </c>
      <c r="D459" s="17">
        <v>60.5</v>
      </c>
    </row>
    <row r="460" spans="1:5" ht="21.75" customHeight="1">
      <c r="A460" s="15" t="s">
        <v>26</v>
      </c>
      <c r="B460" s="16" t="s">
        <v>28</v>
      </c>
      <c r="C460" s="15" t="str">
        <f>"20190111908"</f>
        <v>20190111908</v>
      </c>
      <c r="D460" s="17">
        <v>69.5</v>
      </c>
      <c r="E460" s="18" t="s">
        <v>9</v>
      </c>
    </row>
    <row r="461" spans="1:4" ht="21.75" customHeight="1">
      <c r="A461" s="15" t="s">
        <v>26</v>
      </c>
      <c r="B461" s="16" t="s">
        <v>28</v>
      </c>
      <c r="C461" s="15" t="str">
        <f>"20190111909"</f>
        <v>20190111909</v>
      </c>
      <c r="D461" s="17">
        <v>61</v>
      </c>
    </row>
    <row r="462" spans="1:4" ht="21.75" customHeight="1">
      <c r="A462" s="15" t="s">
        <v>26</v>
      </c>
      <c r="B462" s="16" t="s">
        <v>28</v>
      </c>
      <c r="C462" s="15" t="str">
        <f>"20190111910"</f>
        <v>20190111910</v>
      </c>
      <c r="D462" s="17">
        <v>53</v>
      </c>
    </row>
    <row r="463" spans="1:4" ht="21.75" customHeight="1">
      <c r="A463" s="15" t="s">
        <v>26</v>
      </c>
      <c r="B463" s="16" t="s">
        <v>28</v>
      </c>
      <c r="C463" s="15" t="str">
        <f>"20190111911"</f>
        <v>20190111911</v>
      </c>
      <c r="D463" s="17" t="s">
        <v>12</v>
      </c>
    </row>
    <row r="464" spans="1:4" ht="21.75" customHeight="1">
      <c r="A464" s="15" t="s">
        <v>26</v>
      </c>
      <c r="B464" s="16" t="s">
        <v>28</v>
      </c>
      <c r="C464" s="15" t="str">
        <f>"20190111912"</f>
        <v>20190111912</v>
      </c>
      <c r="D464" s="17" t="s">
        <v>12</v>
      </c>
    </row>
    <row r="465" spans="1:4" ht="21.75" customHeight="1">
      <c r="A465" s="15" t="s">
        <v>26</v>
      </c>
      <c r="B465" s="16" t="s">
        <v>28</v>
      </c>
      <c r="C465" s="15" t="str">
        <f>"20190111913"</f>
        <v>20190111913</v>
      </c>
      <c r="D465" s="17">
        <v>52.5</v>
      </c>
    </row>
    <row r="466" spans="1:4" ht="21.75" customHeight="1">
      <c r="A466" s="15" t="s">
        <v>26</v>
      </c>
      <c r="B466" s="16" t="s">
        <v>28</v>
      </c>
      <c r="C466" s="15" t="str">
        <f>"20190111914"</f>
        <v>20190111914</v>
      </c>
      <c r="D466" s="17" t="s">
        <v>12</v>
      </c>
    </row>
    <row r="467" spans="1:4" ht="21.75" customHeight="1">
      <c r="A467" s="15" t="s">
        <v>26</v>
      </c>
      <c r="B467" s="16" t="s">
        <v>28</v>
      </c>
      <c r="C467" s="15" t="str">
        <f>"20190111915"</f>
        <v>20190111915</v>
      </c>
      <c r="D467" s="17">
        <v>55</v>
      </c>
    </row>
    <row r="468" spans="1:4" ht="21.75" customHeight="1">
      <c r="A468" s="15" t="s">
        <v>26</v>
      </c>
      <c r="B468" s="16" t="s">
        <v>28</v>
      </c>
      <c r="C468" s="15" t="str">
        <f>"20190111916"</f>
        <v>20190111916</v>
      </c>
      <c r="D468" s="17">
        <v>66</v>
      </c>
    </row>
    <row r="469" spans="1:4" ht="21.75" customHeight="1">
      <c r="A469" s="15" t="s">
        <v>26</v>
      </c>
      <c r="B469" s="16" t="s">
        <v>28</v>
      </c>
      <c r="C469" s="15" t="str">
        <f>"20190111917"</f>
        <v>20190111917</v>
      </c>
      <c r="D469" s="17">
        <v>61</v>
      </c>
    </row>
    <row r="470" spans="1:4" ht="21.75" customHeight="1">
      <c r="A470" s="15" t="s">
        <v>26</v>
      </c>
      <c r="B470" s="16" t="s">
        <v>28</v>
      </c>
      <c r="C470" s="15" t="str">
        <f>"20190111918"</f>
        <v>20190111918</v>
      </c>
      <c r="D470" s="17" t="s">
        <v>12</v>
      </c>
    </row>
    <row r="471" spans="1:4" ht="21.75" customHeight="1">
      <c r="A471" s="15" t="s">
        <v>26</v>
      </c>
      <c r="B471" s="16" t="s">
        <v>28</v>
      </c>
      <c r="C471" s="15" t="str">
        <f>"20190111919"</f>
        <v>20190111919</v>
      </c>
      <c r="D471" s="17">
        <v>62.5</v>
      </c>
    </row>
    <row r="472" spans="1:4" ht="21.75" customHeight="1">
      <c r="A472" s="15" t="s">
        <v>26</v>
      </c>
      <c r="B472" s="16" t="s">
        <v>28</v>
      </c>
      <c r="C472" s="15" t="str">
        <f>"20190111920"</f>
        <v>20190111920</v>
      </c>
      <c r="D472" s="17">
        <v>61.5</v>
      </c>
    </row>
    <row r="473" spans="1:4" ht="21.75" customHeight="1">
      <c r="A473" s="15" t="s">
        <v>26</v>
      </c>
      <c r="B473" s="16" t="s">
        <v>28</v>
      </c>
      <c r="C473" s="15" t="str">
        <f>"20190111921"</f>
        <v>20190111921</v>
      </c>
      <c r="D473" s="17">
        <v>58.5</v>
      </c>
    </row>
    <row r="474" spans="1:4" ht="21.75" customHeight="1">
      <c r="A474" s="15" t="s">
        <v>26</v>
      </c>
      <c r="B474" s="16" t="s">
        <v>28</v>
      </c>
      <c r="C474" s="15" t="str">
        <f>"20190111922"</f>
        <v>20190111922</v>
      </c>
      <c r="D474" s="17">
        <v>55.5</v>
      </c>
    </row>
    <row r="475" spans="1:4" ht="21.75" customHeight="1">
      <c r="A475" s="15" t="s">
        <v>26</v>
      </c>
      <c r="B475" s="16" t="s">
        <v>28</v>
      </c>
      <c r="C475" s="15" t="str">
        <f>"20190111923"</f>
        <v>20190111923</v>
      </c>
      <c r="D475" s="17">
        <v>64</v>
      </c>
    </row>
    <row r="476" spans="1:4" ht="21.75" customHeight="1">
      <c r="A476" s="15" t="s">
        <v>26</v>
      </c>
      <c r="B476" s="16" t="s">
        <v>28</v>
      </c>
      <c r="C476" s="15" t="str">
        <f>"20190111924"</f>
        <v>20190111924</v>
      </c>
      <c r="D476" s="17">
        <v>64</v>
      </c>
    </row>
    <row r="477" spans="1:4" ht="21.75" customHeight="1">
      <c r="A477" s="15" t="s">
        <v>26</v>
      </c>
      <c r="B477" s="16" t="s">
        <v>28</v>
      </c>
      <c r="C477" s="15" t="str">
        <f>"20190111925"</f>
        <v>20190111925</v>
      </c>
      <c r="D477" s="17" t="s">
        <v>12</v>
      </c>
    </row>
    <row r="478" spans="1:4" ht="21.75" customHeight="1">
      <c r="A478" s="15" t="s">
        <v>26</v>
      </c>
      <c r="B478" s="16" t="s">
        <v>28</v>
      </c>
      <c r="C478" s="15" t="str">
        <f>"20190111926"</f>
        <v>20190111926</v>
      </c>
      <c r="D478" s="17" t="s">
        <v>12</v>
      </c>
    </row>
    <row r="479" spans="1:4" ht="21.75" customHeight="1">
      <c r="A479" s="15" t="s">
        <v>26</v>
      </c>
      <c r="B479" s="16" t="s">
        <v>28</v>
      </c>
      <c r="C479" s="15" t="str">
        <f>"20190111927"</f>
        <v>20190111927</v>
      </c>
      <c r="D479" s="17" t="s">
        <v>12</v>
      </c>
    </row>
    <row r="480" spans="1:4" ht="21.75" customHeight="1">
      <c r="A480" s="15" t="s">
        <v>26</v>
      </c>
      <c r="B480" s="16" t="s">
        <v>28</v>
      </c>
      <c r="C480" s="15" t="str">
        <f>"20190111928"</f>
        <v>20190111928</v>
      </c>
      <c r="D480" s="17">
        <v>64</v>
      </c>
    </row>
    <row r="481" spans="1:4" ht="21.75" customHeight="1">
      <c r="A481" s="15" t="s">
        <v>26</v>
      </c>
      <c r="B481" s="16" t="s">
        <v>28</v>
      </c>
      <c r="C481" s="15" t="str">
        <f>"20190111929"</f>
        <v>20190111929</v>
      </c>
      <c r="D481" s="17">
        <v>63.5</v>
      </c>
    </row>
    <row r="482" spans="1:4" ht="21.75" customHeight="1">
      <c r="A482" s="15" t="s">
        <v>26</v>
      </c>
      <c r="B482" s="16" t="s">
        <v>28</v>
      </c>
      <c r="C482" s="15" t="str">
        <f>"20190111930"</f>
        <v>20190111930</v>
      </c>
      <c r="D482" s="17" t="s">
        <v>12</v>
      </c>
    </row>
    <row r="483" spans="1:4" ht="21.75" customHeight="1">
      <c r="A483" s="15" t="s">
        <v>26</v>
      </c>
      <c r="B483" s="16" t="s">
        <v>28</v>
      </c>
      <c r="C483" s="15" t="str">
        <f>"20190112001"</f>
        <v>20190112001</v>
      </c>
      <c r="D483" s="17">
        <v>68</v>
      </c>
    </row>
    <row r="484" spans="1:5" ht="21.75" customHeight="1">
      <c r="A484" s="15" t="s">
        <v>26</v>
      </c>
      <c r="B484" s="16" t="s">
        <v>28</v>
      </c>
      <c r="C484" s="15" t="str">
        <f>"20190112002"</f>
        <v>20190112002</v>
      </c>
      <c r="D484" s="17">
        <v>70.5</v>
      </c>
      <c r="E484" s="18" t="s">
        <v>9</v>
      </c>
    </row>
    <row r="485" spans="1:4" ht="21.75" customHeight="1">
      <c r="A485" s="15" t="s">
        <v>26</v>
      </c>
      <c r="B485" s="16" t="s">
        <v>28</v>
      </c>
      <c r="C485" s="15" t="str">
        <f>"20190112003"</f>
        <v>20190112003</v>
      </c>
      <c r="D485" s="17" t="s">
        <v>12</v>
      </c>
    </row>
    <row r="486" spans="1:4" ht="21.75" customHeight="1">
      <c r="A486" s="15" t="s">
        <v>26</v>
      </c>
      <c r="B486" s="16" t="s">
        <v>28</v>
      </c>
      <c r="C486" s="15" t="str">
        <f>"20190112004"</f>
        <v>20190112004</v>
      </c>
      <c r="D486" s="17">
        <v>53</v>
      </c>
    </row>
    <row r="487" spans="1:4" ht="21.75" customHeight="1">
      <c r="A487" s="15" t="s">
        <v>26</v>
      </c>
      <c r="B487" s="16" t="s">
        <v>28</v>
      </c>
      <c r="C487" s="15" t="str">
        <f>"20190112005"</f>
        <v>20190112005</v>
      </c>
      <c r="D487" s="17">
        <v>48</v>
      </c>
    </row>
    <row r="488" spans="1:4" ht="21.75" customHeight="1">
      <c r="A488" s="15" t="s">
        <v>26</v>
      </c>
      <c r="B488" s="16" t="s">
        <v>28</v>
      </c>
      <c r="C488" s="15" t="str">
        <f>"20190112006"</f>
        <v>20190112006</v>
      </c>
      <c r="D488" s="17">
        <v>58</v>
      </c>
    </row>
    <row r="489" spans="1:4" ht="21.75" customHeight="1">
      <c r="A489" s="15" t="s">
        <v>26</v>
      </c>
      <c r="B489" s="16" t="s">
        <v>28</v>
      </c>
      <c r="C489" s="15" t="str">
        <f>"20190112007"</f>
        <v>20190112007</v>
      </c>
      <c r="D489" s="17" t="s">
        <v>12</v>
      </c>
    </row>
    <row r="490" spans="1:4" ht="21.75" customHeight="1">
      <c r="A490" s="15" t="s">
        <v>26</v>
      </c>
      <c r="B490" s="16" t="s">
        <v>28</v>
      </c>
      <c r="C490" s="15" t="str">
        <f>"20190112008"</f>
        <v>20190112008</v>
      </c>
      <c r="D490" s="17">
        <v>51</v>
      </c>
    </row>
    <row r="491" spans="1:4" ht="21.75" customHeight="1">
      <c r="A491" s="15" t="s">
        <v>26</v>
      </c>
      <c r="B491" s="16" t="s">
        <v>28</v>
      </c>
      <c r="C491" s="15" t="str">
        <f>"20190112009"</f>
        <v>20190112009</v>
      </c>
      <c r="D491" s="17">
        <v>61</v>
      </c>
    </row>
    <row r="492" spans="1:4" ht="21.75" customHeight="1">
      <c r="A492" s="15" t="s">
        <v>26</v>
      </c>
      <c r="B492" s="16" t="s">
        <v>8</v>
      </c>
      <c r="C492" s="15" t="str">
        <f>"20190112010"</f>
        <v>20190112010</v>
      </c>
      <c r="D492" s="17">
        <v>65</v>
      </c>
    </row>
    <row r="493" spans="1:4" ht="21.75" customHeight="1">
      <c r="A493" s="15" t="s">
        <v>26</v>
      </c>
      <c r="B493" s="16" t="s">
        <v>8</v>
      </c>
      <c r="C493" s="15" t="str">
        <f>"20190112011"</f>
        <v>20190112011</v>
      </c>
      <c r="D493" s="17">
        <v>64</v>
      </c>
    </row>
    <row r="494" spans="1:5" ht="21.75" customHeight="1">
      <c r="A494" s="15" t="s">
        <v>26</v>
      </c>
      <c r="B494" s="16" t="s">
        <v>8</v>
      </c>
      <c r="C494" s="15" t="str">
        <f>"20190112012"</f>
        <v>20190112012</v>
      </c>
      <c r="D494" s="17">
        <v>74</v>
      </c>
      <c r="E494" s="18" t="s">
        <v>9</v>
      </c>
    </row>
    <row r="495" spans="1:5" ht="21.75" customHeight="1">
      <c r="A495" s="15" t="s">
        <v>26</v>
      </c>
      <c r="B495" s="16" t="s">
        <v>8</v>
      </c>
      <c r="C495" s="15" t="str">
        <f>"20190112013"</f>
        <v>20190112013</v>
      </c>
      <c r="D495" s="17">
        <v>59</v>
      </c>
      <c r="E495" s="19"/>
    </row>
    <row r="496" spans="1:5" ht="21.75" customHeight="1">
      <c r="A496" s="15" t="s">
        <v>26</v>
      </c>
      <c r="B496" s="16" t="s">
        <v>8</v>
      </c>
      <c r="C496" s="15" t="str">
        <f>"20190112014"</f>
        <v>20190112014</v>
      </c>
      <c r="D496" s="17">
        <v>64</v>
      </c>
      <c r="E496" s="19"/>
    </row>
    <row r="497" spans="1:4" ht="21.75" customHeight="1">
      <c r="A497" s="15" t="s">
        <v>26</v>
      </c>
      <c r="B497" s="16" t="s">
        <v>8</v>
      </c>
      <c r="C497" s="15" t="str">
        <f>"20190112015"</f>
        <v>20190112015</v>
      </c>
      <c r="D497" s="17">
        <v>58.5</v>
      </c>
    </row>
    <row r="498" spans="1:4" ht="21.75" customHeight="1">
      <c r="A498" s="15" t="s">
        <v>26</v>
      </c>
      <c r="B498" s="16" t="s">
        <v>8</v>
      </c>
      <c r="C498" s="15" t="str">
        <f>"20190112016"</f>
        <v>20190112016</v>
      </c>
      <c r="D498" s="17">
        <v>71</v>
      </c>
    </row>
    <row r="499" spans="1:4" ht="21.75" customHeight="1">
      <c r="A499" s="15" t="s">
        <v>26</v>
      </c>
      <c r="B499" s="16" t="s">
        <v>8</v>
      </c>
      <c r="C499" s="15" t="str">
        <f>"20190112017"</f>
        <v>20190112017</v>
      </c>
      <c r="D499" s="17">
        <v>56.5</v>
      </c>
    </row>
    <row r="500" spans="1:4" ht="21.75" customHeight="1">
      <c r="A500" s="15" t="s">
        <v>26</v>
      </c>
      <c r="B500" s="16" t="s">
        <v>8</v>
      </c>
      <c r="C500" s="15" t="str">
        <f>"20190112018"</f>
        <v>20190112018</v>
      </c>
      <c r="D500" s="17" t="s">
        <v>12</v>
      </c>
    </row>
    <row r="501" spans="1:4" ht="21.75" customHeight="1">
      <c r="A501" s="15" t="s">
        <v>26</v>
      </c>
      <c r="B501" s="16" t="s">
        <v>8</v>
      </c>
      <c r="C501" s="15" t="str">
        <f>"20190112019"</f>
        <v>20190112019</v>
      </c>
      <c r="D501" s="17">
        <v>59.5</v>
      </c>
    </row>
    <row r="502" spans="1:4" ht="21.75" customHeight="1">
      <c r="A502" s="15" t="s">
        <v>26</v>
      </c>
      <c r="B502" s="16" t="s">
        <v>8</v>
      </c>
      <c r="C502" s="15" t="str">
        <f>"20190112020"</f>
        <v>20190112020</v>
      </c>
      <c r="D502" s="17">
        <v>55.5</v>
      </c>
    </row>
    <row r="503" spans="1:4" ht="21.75" customHeight="1">
      <c r="A503" s="15" t="s">
        <v>26</v>
      </c>
      <c r="B503" s="16" t="s">
        <v>8</v>
      </c>
      <c r="C503" s="15" t="str">
        <f>"20190112021"</f>
        <v>20190112021</v>
      </c>
      <c r="D503" s="17">
        <v>61</v>
      </c>
    </row>
    <row r="504" spans="1:4" ht="21.75" customHeight="1">
      <c r="A504" s="15" t="s">
        <v>26</v>
      </c>
      <c r="B504" s="16" t="s">
        <v>8</v>
      </c>
      <c r="C504" s="15" t="str">
        <f>"20190112022"</f>
        <v>20190112022</v>
      </c>
      <c r="D504" s="17" t="s">
        <v>12</v>
      </c>
    </row>
    <row r="505" spans="1:4" ht="21.75" customHeight="1">
      <c r="A505" s="15" t="s">
        <v>26</v>
      </c>
      <c r="B505" s="16" t="s">
        <v>8</v>
      </c>
      <c r="C505" s="15" t="str">
        <f>"20190112023"</f>
        <v>20190112023</v>
      </c>
      <c r="D505" s="17">
        <v>57</v>
      </c>
    </row>
    <row r="506" spans="1:4" ht="21.75" customHeight="1">
      <c r="A506" s="15" t="s">
        <v>26</v>
      </c>
      <c r="B506" s="16" t="s">
        <v>8</v>
      </c>
      <c r="C506" s="15" t="str">
        <f>"20190112024"</f>
        <v>20190112024</v>
      </c>
      <c r="D506" s="17">
        <v>59</v>
      </c>
    </row>
    <row r="507" spans="1:4" ht="21.75" customHeight="1">
      <c r="A507" s="15" t="s">
        <v>26</v>
      </c>
      <c r="B507" s="16" t="s">
        <v>8</v>
      </c>
      <c r="C507" s="15" t="str">
        <f>"20190112025"</f>
        <v>20190112025</v>
      </c>
      <c r="D507" s="17">
        <v>64.5</v>
      </c>
    </row>
    <row r="508" spans="1:4" ht="21.75" customHeight="1">
      <c r="A508" s="15" t="s">
        <v>26</v>
      </c>
      <c r="B508" s="16" t="s">
        <v>8</v>
      </c>
      <c r="C508" s="15" t="str">
        <f>"20190112026"</f>
        <v>20190112026</v>
      </c>
      <c r="D508" s="17">
        <v>60.5</v>
      </c>
    </row>
    <row r="509" spans="1:4" ht="21.75" customHeight="1">
      <c r="A509" s="15" t="s">
        <v>26</v>
      </c>
      <c r="B509" s="16" t="s">
        <v>8</v>
      </c>
      <c r="C509" s="15" t="str">
        <f>"20190112027"</f>
        <v>20190112027</v>
      </c>
      <c r="D509" s="17">
        <v>62.5</v>
      </c>
    </row>
    <row r="510" spans="1:4" ht="21.75" customHeight="1">
      <c r="A510" s="15" t="s">
        <v>26</v>
      </c>
      <c r="B510" s="16" t="s">
        <v>8</v>
      </c>
      <c r="C510" s="15" t="str">
        <f>"20190112028"</f>
        <v>20190112028</v>
      </c>
      <c r="D510" s="17">
        <v>31.5</v>
      </c>
    </row>
    <row r="511" spans="1:4" ht="21.75" customHeight="1">
      <c r="A511" s="15" t="s">
        <v>26</v>
      </c>
      <c r="B511" s="16" t="s">
        <v>8</v>
      </c>
      <c r="C511" s="15" t="str">
        <f>"20190112029"</f>
        <v>20190112029</v>
      </c>
      <c r="D511" s="17" t="s">
        <v>12</v>
      </c>
    </row>
    <row r="512" spans="1:4" ht="21.75" customHeight="1">
      <c r="A512" s="15" t="s">
        <v>26</v>
      </c>
      <c r="B512" s="16" t="s">
        <v>8</v>
      </c>
      <c r="C512" s="15" t="str">
        <f>"20190112030"</f>
        <v>20190112030</v>
      </c>
      <c r="D512" s="17">
        <v>61</v>
      </c>
    </row>
    <row r="513" spans="1:4" ht="21.75" customHeight="1">
      <c r="A513" s="15" t="s">
        <v>26</v>
      </c>
      <c r="B513" s="16" t="s">
        <v>8</v>
      </c>
      <c r="C513" s="15" t="str">
        <f>"20190112101"</f>
        <v>20190112101</v>
      </c>
      <c r="D513" s="17">
        <v>59</v>
      </c>
    </row>
    <row r="514" spans="1:4" ht="21.75" customHeight="1">
      <c r="A514" s="15" t="s">
        <v>26</v>
      </c>
      <c r="B514" s="16" t="s">
        <v>8</v>
      </c>
      <c r="C514" s="15" t="str">
        <f>"20190112102"</f>
        <v>20190112102</v>
      </c>
      <c r="D514" s="17">
        <v>50</v>
      </c>
    </row>
    <row r="515" spans="1:4" ht="21.75" customHeight="1">
      <c r="A515" s="15" t="s">
        <v>26</v>
      </c>
      <c r="B515" s="16" t="s">
        <v>8</v>
      </c>
      <c r="C515" s="15" t="str">
        <f>"20190112103"</f>
        <v>20190112103</v>
      </c>
      <c r="D515" s="17">
        <v>64.5</v>
      </c>
    </row>
    <row r="516" spans="1:4" ht="21.75" customHeight="1">
      <c r="A516" s="15" t="s">
        <v>26</v>
      </c>
      <c r="B516" s="16" t="s">
        <v>8</v>
      </c>
      <c r="C516" s="15" t="str">
        <f>"20190112104"</f>
        <v>20190112104</v>
      </c>
      <c r="D516" s="17">
        <v>56</v>
      </c>
    </row>
    <row r="517" spans="1:4" ht="21.75" customHeight="1">
      <c r="A517" s="15" t="s">
        <v>26</v>
      </c>
      <c r="B517" s="16" t="s">
        <v>8</v>
      </c>
      <c r="C517" s="15" t="str">
        <f>"20190112105"</f>
        <v>20190112105</v>
      </c>
      <c r="D517" s="17" t="s">
        <v>12</v>
      </c>
    </row>
    <row r="518" spans="1:4" ht="21.75" customHeight="1">
      <c r="A518" s="15" t="s">
        <v>26</v>
      </c>
      <c r="B518" s="16" t="s">
        <v>8</v>
      </c>
      <c r="C518" s="15" t="str">
        <f>"20190112106"</f>
        <v>20190112106</v>
      </c>
      <c r="D518" s="17">
        <v>63.5</v>
      </c>
    </row>
    <row r="519" spans="1:4" ht="21.75" customHeight="1">
      <c r="A519" s="15" t="s">
        <v>26</v>
      </c>
      <c r="B519" s="16" t="s">
        <v>8</v>
      </c>
      <c r="C519" s="15" t="str">
        <f>"20190112107"</f>
        <v>20190112107</v>
      </c>
      <c r="D519" s="17">
        <v>63.5</v>
      </c>
    </row>
    <row r="520" spans="1:4" ht="21.75" customHeight="1">
      <c r="A520" s="15" t="s">
        <v>26</v>
      </c>
      <c r="B520" s="16" t="s">
        <v>8</v>
      </c>
      <c r="C520" s="15" t="str">
        <f>"20190112108"</f>
        <v>20190112108</v>
      </c>
      <c r="D520" s="17">
        <v>58.5</v>
      </c>
    </row>
    <row r="521" spans="1:4" ht="21.75" customHeight="1">
      <c r="A521" s="15" t="s">
        <v>26</v>
      </c>
      <c r="B521" s="16" t="s">
        <v>8</v>
      </c>
      <c r="C521" s="15" t="str">
        <f>"20190112109"</f>
        <v>20190112109</v>
      </c>
      <c r="D521" s="17">
        <v>54.5</v>
      </c>
    </row>
    <row r="522" spans="1:5" ht="21.75" customHeight="1">
      <c r="A522" s="15" t="s">
        <v>26</v>
      </c>
      <c r="B522" s="16" t="s">
        <v>8</v>
      </c>
      <c r="C522" s="15" t="str">
        <f>"20190112110"</f>
        <v>20190112110</v>
      </c>
      <c r="D522" s="17">
        <v>72</v>
      </c>
      <c r="E522" s="18" t="s">
        <v>9</v>
      </c>
    </row>
    <row r="523" spans="1:5" ht="21.75" customHeight="1">
      <c r="A523" s="15" t="s">
        <v>26</v>
      </c>
      <c r="B523" s="16" t="s">
        <v>8</v>
      </c>
      <c r="C523" s="15" t="str">
        <f>"20190112111"</f>
        <v>20190112111</v>
      </c>
      <c r="D523" s="17" t="s">
        <v>12</v>
      </c>
      <c r="E523" s="19"/>
    </row>
    <row r="524" spans="1:4" ht="21.75" customHeight="1">
      <c r="A524" s="15" t="s">
        <v>26</v>
      </c>
      <c r="B524" s="16" t="s">
        <v>8</v>
      </c>
      <c r="C524" s="15" t="str">
        <f>"20190112112"</f>
        <v>20190112112</v>
      </c>
      <c r="D524" s="17">
        <v>59.5</v>
      </c>
    </row>
    <row r="525" spans="1:4" ht="21.75" customHeight="1">
      <c r="A525" s="15" t="s">
        <v>26</v>
      </c>
      <c r="B525" s="16" t="s">
        <v>8</v>
      </c>
      <c r="C525" s="15" t="str">
        <f>"20190112113"</f>
        <v>20190112113</v>
      </c>
      <c r="D525" s="17">
        <v>61</v>
      </c>
    </row>
    <row r="526" spans="1:4" ht="21.75" customHeight="1">
      <c r="A526" s="15" t="s">
        <v>26</v>
      </c>
      <c r="B526" s="16" t="s">
        <v>8</v>
      </c>
      <c r="C526" s="15" t="str">
        <f>"20190112114"</f>
        <v>20190112114</v>
      </c>
      <c r="D526" s="17" t="s">
        <v>12</v>
      </c>
    </row>
    <row r="527" spans="1:4" ht="21.75" customHeight="1">
      <c r="A527" s="15" t="s">
        <v>26</v>
      </c>
      <c r="B527" s="16" t="s">
        <v>8</v>
      </c>
      <c r="C527" s="15" t="str">
        <f>"20190112115"</f>
        <v>20190112115</v>
      </c>
      <c r="D527" s="17">
        <v>53.5</v>
      </c>
    </row>
    <row r="528" spans="1:4" ht="21.75" customHeight="1">
      <c r="A528" s="15" t="s">
        <v>26</v>
      </c>
      <c r="B528" s="16" t="s">
        <v>8</v>
      </c>
      <c r="C528" s="15" t="str">
        <f>"20190112116"</f>
        <v>20190112116</v>
      </c>
      <c r="D528" s="17" t="s">
        <v>12</v>
      </c>
    </row>
    <row r="529" spans="1:4" ht="21.75" customHeight="1">
      <c r="A529" s="15" t="s">
        <v>26</v>
      </c>
      <c r="B529" s="16" t="s">
        <v>8</v>
      </c>
      <c r="C529" s="15" t="str">
        <f>"20190112117"</f>
        <v>20190112117</v>
      </c>
      <c r="D529" s="17">
        <v>60.5</v>
      </c>
    </row>
    <row r="530" spans="1:5" ht="21.75" customHeight="1">
      <c r="A530" s="15" t="s">
        <v>26</v>
      </c>
      <c r="B530" s="16" t="s">
        <v>8</v>
      </c>
      <c r="C530" s="15" t="str">
        <f>"20190112118"</f>
        <v>20190112118</v>
      </c>
      <c r="D530" s="17">
        <v>63</v>
      </c>
      <c r="E530" s="19"/>
    </row>
    <row r="531" spans="1:5" ht="21.75" customHeight="1">
      <c r="A531" s="15" t="s">
        <v>26</v>
      </c>
      <c r="B531" s="16" t="s">
        <v>8</v>
      </c>
      <c r="C531" s="15" t="str">
        <f>"20190112119"</f>
        <v>20190112119</v>
      </c>
      <c r="D531" s="17">
        <v>63.5</v>
      </c>
      <c r="E531" s="19"/>
    </row>
    <row r="532" spans="1:5" ht="21.75" customHeight="1">
      <c r="A532" s="15" t="s">
        <v>26</v>
      </c>
      <c r="B532" s="16" t="s">
        <v>8</v>
      </c>
      <c r="C532" s="15" t="str">
        <f>"20190112120"</f>
        <v>20190112120</v>
      </c>
      <c r="D532" s="17" t="s">
        <v>12</v>
      </c>
      <c r="E532" s="19"/>
    </row>
    <row r="533" spans="1:5" ht="21.75" customHeight="1">
      <c r="A533" s="15" t="s">
        <v>26</v>
      </c>
      <c r="B533" s="16" t="s">
        <v>8</v>
      </c>
      <c r="C533" s="15" t="str">
        <f>"20190112121"</f>
        <v>20190112121</v>
      </c>
      <c r="D533" s="17" t="s">
        <v>12</v>
      </c>
      <c r="E533" s="19"/>
    </row>
    <row r="534" spans="1:4" ht="21.75" customHeight="1">
      <c r="A534" s="15" t="s">
        <v>26</v>
      </c>
      <c r="B534" s="16" t="s">
        <v>8</v>
      </c>
      <c r="C534" s="15" t="str">
        <f>"20190112122"</f>
        <v>20190112122</v>
      </c>
      <c r="D534" s="17">
        <v>61.5</v>
      </c>
    </row>
    <row r="535" spans="1:4" ht="21.75" customHeight="1">
      <c r="A535" s="15" t="s">
        <v>26</v>
      </c>
      <c r="B535" s="16" t="s">
        <v>8</v>
      </c>
      <c r="C535" s="15" t="str">
        <f>"20190112123"</f>
        <v>20190112123</v>
      </c>
      <c r="D535" s="17" t="s">
        <v>12</v>
      </c>
    </row>
    <row r="536" spans="1:4" ht="21.75" customHeight="1">
      <c r="A536" s="15" t="s">
        <v>26</v>
      </c>
      <c r="B536" s="16" t="s">
        <v>8</v>
      </c>
      <c r="C536" s="15" t="str">
        <f>"20190112124"</f>
        <v>20190112124</v>
      </c>
      <c r="D536" s="17">
        <v>67</v>
      </c>
    </row>
    <row r="537" spans="1:4" ht="21.75" customHeight="1">
      <c r="A537" s="15" t="s">
        <v>26</v>
      </c>
      <c r="B537" s="16" t="s">
        <v>8</v>
      </c>
      <c r="C537" s="15" t="str">
        <f>"20190112125"</f>
        <v>20190112125</v>
      </c>
      <c r="D537" s="17">
        <v>55</v>
      </c>
    </row>
    <row r="538" spans="1:4" ht="21.75" customHeight="1">
      <c r="A538" s="15" t="s">
        <v>26</v>
      </c>
      <c r="B538" s="16" t="s">
        <v>8</v>
      </c>
      <c r="C538" s="15" t="str">
        <f>"20190112126"</f>
        <v>20190112126</v>
      </c>
      <c r="D538" s="17" t="s">
        <v>12</v>
      </c>
    </row>
    <row r="539" spans="1:4" ht="21.75" customHeight="1">
      <c r="A539" s="15" t="s">
        <v>26</v>
      </c>
      <c r="B539" s="16" t="s">
        <v>8</v>
      </c>
      <c r="C539" s="15" t="str">
        <f>"20190112127"</f>
        <v>20190112127</v>
      </c>
      <c r="D539" s="17" t="s">
        <v>12</v>
      </c>
    </row>
    <row r="540" spans="1:4" ht="21.75" customHeight="1">
      <c r="A540" s="15" t="s">
        <v>26</v>
      </c>
      <c r="B540" s="16" t="s">
        <v>8</v>
      </c>
      <c r="C540" s="15" t="str">
        <f>"20190112128"</f>
        <v>20190112128</v>
      </c>
      <c r="D540" s="17" t="s">
        <v>12</v>
      </c>
    </row>
    <row r="541" spans="1:4" ht="21.75" customHeight="1">
      <c r="A541" s="15" t="s">
        <v>26</v>
      </c>
      <c r="B541" s="16" t="s">
        <v>8</v>
      </c>
      <c r="C541" s="15" t="str">
        <f>"20190112129"</f>
        <v>20190112129</v>
      </c>
      <c r="D541" s="17" t="s">
        <v>12</v>
      </c>
    </row>
    <row r="542" spans="1:4" ht="21.75" customHeight="1">
      <c r="A542" s="15" t="s">
        <v>26</v>
      </c>
      <c r="B542" s="16" t="s">
        <v>8</v>
      </c>
      <c r="C542" s="15" t="str">
        <f>"20190112130"</f>
        <v>20190112130</v>
      </c>
      <c r="D542" s="17" t="s">
        <v>12</v>
      </c>
    </row>
    <row r="543" spans="1:5" ht="21.75" customHeight="1">
      <c r="A543" s="15" t="s">
        <v>26</v>
      </c>
      <c r="B543" s="16" t="s">
        <v>8</v>
      </c>
      <c r="C543" s="15" t="str">
        <f>"20190112201"</f>
        <v>20190112201</v>
      </c>
      <c r="D543" s="17">
        <v>75.5</v>
      </c>
      <c r="E543" s="18" t="s">
        <v>9</v>
      </c>
    </row>
    <row r="544" spans="1:4" ht="21.75" customHeight="1">
      <c r="A544" s="15" t="s">
        <v>26</v>
      </c>
      <c r="B544" s="16" t="s">
        <v>8</v>
      </c>
      <c r="C544" s="15" t="str">
        <f>"20190112202"</f>
        <v>20190112202</v>
      </c>
      <c r="D544" s="17">
        <v>66</v>
      </c>
    </row>
    <row r="545" spans="1:4" ht="21.75" customHeight="1">
      <c r="A545" s="15" t="s">
        <v>26</v>
      </c>
      <c r="B545" s="16" t="s">
        <v>8</v>
      </c>
      <c r="C545" s="15" t="str">
        <f>"20190112203"</f>
        <v>20190112203</v>
      </c>
      <c r="D545" s="17">
        <v>58.5</v>
      </c>
    </row>
    <row r="546" spans="1:4" ht="21.75" customHeight="1">
      <c r="A546" s="15" t="s">
        <v>26</v>
      </c>
      <c r="B546" s="16" t="s">
        <v>8</v>
      </c>
      <c r="C546" s="15" t="str">
        <f>"20190112204"</f>
        <v>20190112204</v>
      </c>
      <c r="D546" s="17">
        <v>56</v>
      </c>
    </row>
    <row r="547" spans="1:4" ht="21.75" customHeight="1">
      <c r="A547" s="15" t="s">
        <v>26</v>
      </c>
      <c r="B547" s="16" t="s">
        <v>8</v>
      </c>
      <c r="C547" s="15" t="str">
        <f>"20190112205"</f>
        <v>20190112205</v>
      </c>
      <c r="D547" s="17">
        <v>45.5</v>
      </c>
    </row>
    <row r="548" spans="1:4" ht="21.75" customHeight="1">
      <c r="A548" s="15" t="s">
        <v>26</v>
      </c>
      <c r="B548" s="16" t="s">
        <v>8</v>
      </c>
      <c r="C548" s="15" t="str">
        <f>"20190112206"</f>
        <v>20190112206</v>
      </c>
      <c r="D548" s="17" t="s">
        <v>12</v>
      </c>
    </row>
    <row r="549" spans="1:4" ht="21.75" customHeight="1">
      <c r="A549" s="15" t="s">
        <v>26</v>
      </c>
      <c r="B549" s="16" t="s">
        <v>8</v>
      </c>
      <c r="C549" s="15" t="str">
        <f>"20190112207"</f>
        <v>20190112207</v>
      </c>
      <c r="D549" s="17" t="s">
        <v>12</v>
      </c>
    </row>
    <row r="550" spans="1:4" ht="21.75" customHeight="1">
      <c r="A550" s="15" t="s">
        <v>26</v>
      </c>
      <c r="B550" s="16" t="s">
        <v>8</v>
      </c>
      <c r="C550" s="15" t="str">
        <f>"20190112208"</f>
        <v>20190112208</v>
      </c>
      <c r="D550" s="17">
        <v>58</v>
      </c>
    </row>
    <row r="551" spans="1:4" ht="21.75" customHeight="1">
      <c r="A551" s="15" t="s">
        <v>26</v>
      </c>
      <c r="B551" s="16" t="s">
        <v>8</v>
      </c>
      <c r="C551" s="15" t="str">
        <f>"20190112209"</f>
        <v>20190112209</v>
      </c>
      <c r="D551" s="17" t="s">
        <v>12</v>
      </c>
    </row>
    <row r="552" spans="1:5" ht="21.75" customHeight="1">
      <c r="A552" s="15" t="s">
        <v>29</v>
      </c>
      <c r="B552" s="16" t="s">
        <v>30</v>
      </c>
      <c r="C552" s="15" t="str">
        <f>"20190112210"</f>
        <v>20190112210</v>
      </c>
      <c r="D552" s="17">
        <v>72</v>
      </c>
      <c r="E552" s="18" t="s">
        <v>9</v>
      </c>
    </row>
    <row r="553" spans="1:4" ht="21.75" customHeight="1">
      <c r="A553" s="15" t="s">
        <v>29</v>
      </c>
      <c r="B553" s="16" t="s">
        <v>30</v>
      </c>
      <c r="C553" s="15" t="str">
        <f>"20190112211"</f>
        <v>20190112211</v>
      </c>
      <c r="D553" s="17">
        <v>51.5</v>
      </c>
    </row>
    <row r="554" spans="1:5" ht="21.75" customHeight="1">
      <c r="A554" s="15" t="s">
        <v>29</v>
      </c>
      <c r="B554" s="16" t="s">
        <v>30</v>
      </c>
      <c r="C554" s="15" t="str">
        <f>"20190112212"</f>
        <v>20190112212</v>
      </c>
      <c r="D554" s="17">
        <v>58.5</v>
      </c>
      <c r="E554" s="18" t="s">
        <v>9</v>
      </c>
    </row>
    <row r="555" spans="1:4" ht="21.75" customHeight="1">
      <c r="A555" s="15" t="s">
        <v>29</v>
      </c>
      <c r="B555" s="16" t="s">
        <v>30</v>
      </c>
      <c r="C555" s="15" t="str">
        <f>"20190112213"</f>
        <v>20190112213</v>
      </c>
      <c r="D555" s="17">
        <v>49.5</v>
      </c>
    </row>
    <row r="556" spans="1:5" ht="21.75" customHeight="1">
      <c r="A556" s="15" t="s">
        <v>29</v>
      </c>
      <c r="B556" s="16" t="s">
        <v>30</v>
      </c>
      <c r="C556" s="15" t="str">
        <f>"20190112214"</f>
        <v>20190112214</v>
      </c>
      <c r="D556" s="17">
        <v>68.5</v>
      </c>
      <c r="E556" s="18" t="s">
        <v>9</v>
      </c>
    </row>
    <row r="557" spans="1:4" ht="21.75" customHeight="1">
      <c r="A557" s="15" t="s">
        <v>29</v>
      </c>
      <c r="B557" s="16" t="s">
        <v>30</v>
      </c>
      <c r="C557" s="15" t="str">
        <f>"20190112215"</f>
        <v>20190112215</v>
      </c>
      <c r="D557" s="17">
        <v>55</v>
      </c>
    </row>
    <row r="558" spans="1:4" ht="21.75" customHeight="1">
      <c r="A558" s="15" t="s">
        <v>29</v>
      </c>
      <c r="B558" s="16" t="s">
        <v>31</v>
      </c>
      <c r="C558" s="15" t="str">
        <f>"20190112216"</f>
        <v>20190112216</v>
      </c>
      <c r="D558" s="17">
        <v>61.5</v>
      </c>
    </row>
    <row r="559" spans="1:4" ht="21.75" customHeight="1">
      <c r="A559" s="15" t="s">
        <v>29</v>
      </c>
      <c r="B559" s="16" t="s">
        <v>31</v>
      </c>
      <c r="C559" s="15" t="str">
        <f>"20190112217"</f>
        <v>20190112217</v>
      </c>
      <c r="D559" s="17">
        <v>63</v>
      </c>
    </row>
    <row r="560" spans="1:4" ht="21.75" customHeight="1">
      <c r="A560" s="15" t="s">
        <v>29</v>
      </c>
      <c r="B560" s="16" t="s">
        <v>31</v>
      </c>
      <c r="C560" s="15" t="str">
        <f>"20190112218"</f>
        <v>20190112218</v>
      </c>
      <c r="D560" s="17">
        <v>62.5</v>
      </c>
    </row>
    <row r="561" spans="1:4" ht="21.75" customHeight="1">
      <c r="A561" s="15" t="s">
        <v>29</v>
      </c>
      <c r="B561" s="16" t="s">
        <v>31</v>
      </c>
      <c r="C561" s="15" t="str">
        <f>"20190112219"</f>
        <v>20190112219</v>
      </c>
      <c r="D561" s="17">
        <v>65.5</v>
      </c>
    </row>
    <row r="562" spans="1:4" ht="21.75" customHeight="1">
      <c r="A562" s="15" t="s">
        <v>29</v>
      </c>
      <c r="B562" s="16" t="s">
        <v>31</v>
      </c>
      <c r="C562" s="15" t="str">
        <f>"20190112220"</f>
        <v>20190112220</v>
      </c>
      <c r="D562" s="17">
        <v>50.5</v>
      </c>
    </row>
    <row r="563" spans="1:4" ht="21.75" customHeight="1">
      <c r="A563" s="15" t="s">
        <v>29</v>
      </c>
      <c r="B563" s="16" t="s">
        <v>31</v>
      </c>
      <c r="C563" s="15" t="str">
        <f>"20190112221"</f>
        <v>20190112221</v>
      </c>
      <c r="D563" s="17">
        <v>63.5</v>
      </c>
    </row>
    <row r="564" spans="1:4" ht="21.75" customHeight="1">
      <c r="A564" s="15" t="s">
        <v>29</v>
      </c>
      <c r="B564" s="16" t="s">
        <v>31</v>
      </c>
      <c r="C564" s="15" t="str">
        <f>"20190112222"</f>
        <v>20190112222</v>
      </c>
      <c r="D564" s="17">
        <v>60.5</v>
      </c>
    </row>
    <row r="565" spans="1:4" ht="21.75" customHeight="1">
      <c r="A565" s="15" t="s">
        <v>29</v>
      </c>
      <c r="B565" s="16" t="s">
        <v>31</v>
      </c>
      <c r="C565" s="15" t="str">
        <f>"20190112223"</f>
        <v>20190112223</v>
      </c>
      <c r="D565" s="17">
        <v>61</v>
      </c>
    </row>
    <row r="566" spans="1:4" ht="21.75" customHeight="1">
      <c r="A566" s="15" t="s">
        <v>29</v>
      </c>
      <c r="B566" s="16" t="s">
        <v>31</v>
      </c>
      <c r="C566" s="15" t="str">
        <f>"20190112224"</f>
        <v>20190112224</v>
      </c>
      <c r="D566" s="17">
        <v>66</v>
      </c>
    </row>
    <row r="567" spans="1:4" ht="21.75" customHeight="1">
      <c r="A567" s="15" t="s">
        <v>29</v>
      </c>
      <c r="B567" s="16" t="s">
        <v>31</v>
      </c>
      <c r="C567" s="15" t="str">
        <f>"20190112225"</f>
        <v>20190112225</v>
      </c>
      <c r="D567" s="17">
        <v>61</v>
      </c>
    </row>
    <row r="568" spans="1:4" ht="21.75" customHeight="1">
      <c r="A568" s="15" t="s">
        <v>29</v>
      </c>
      <c r="B568" s="16" t="s">
        <v>31</v>
      </c>
      <c r="C568" s="15" t="str">
        <f>"20190112226"</f>
        <v>20190112226</v>
      </c>
      <c r="D568" s="17">
        <v>52.5</v>
      </c>
    </row>
    <row r="569" spans="1:4" ht="21.75" customHeight="1">
      <c r="A569" s="15" t="s">
        <v>29</v>
      </c>
      <c r="B569" s="16" t="s">
        <v>31</v>
      </c>
      <c r="C569" s="15" t="str">
        <f>"20190112227"</f>
        <v>20190112227</v>
      </c>
      <c r="D569" s="17" t="s">
        <v>12</v>
      </c>
    </row>
    <row r="570" spans="1:4" ht="21.75" customHeight="1">
      <c r="A570" s="15" t="s">
        <v>29</v>
      </c>
      <c r="B570" s="16" t="s">
        <v>31</v>
      </c>
      <c r="C570" s="15" t="str">
        <f>"20190112228"</f>
        <v>20190112228</v>
      </c>
      <c r="D570" s="17">
        <v>58</v>
      </c>
    </row>
    <row r="571" spans="1:4" ht="21.75" customHeight="1">
      <c r="A571" s="15" t="s">
        <v>29</v>
      </c>
      <c r="B571" s="16" t="s">
        <v>31</v>
      </c>
      <c r="C571" s="15" t="str">
        <f>"20190112229"</f>
        <v>20190112229</v>
      </c>
      <c r="D571" s="17">
        <v>55</v>
      </c>
    </row>
    <row r="572" spans="1:4" ht="21.75" customHeight="1">
      <c r="A572" s="15" t="s">
        <v>29</v>
      </c>
      <c r="B572" s="16" t="s">
        <v>31</v>
      </c>
      <c r="C572" s="15" t="str">
        <f>"20190112230"</f>
        <v>20190112230</v>
      </c>
      <c r="D572" s="17">
        <v>67</v>
      </c>
    </row>
    <row r="573" spans="1:4" ht="21.75" customHeight="1">
      <c r="A573" s="15" t="s">
        <v>29</v>
      </c>
      <c r="B573" s="16" t="s">
        <v>31</v>
      </c>
      <c r="C573" s="15" t="str">
        <f>"20190112301"</f>
        <v>20190112301</v>
      </c>
      <c r="D573" s="17">
        <v>51</v>
      </c>
    </row>
    <row r="574" spans="1:4" ht="21.75" customHeight="1">
      <c r="A574" s="15" t="s">
        <v>29</v>
      </c>
      <c r="B574" s="16" t="s">
        <v>31</v>
      </c>
      <c r="C574" s="15" t="str">
        <f>"20190112302"</f>
        <v>20190112302</v>
      </c>
      <c r="D574" s="17">
        <v>59</v>
      </c>
    </row>
    <row r="575" spans="1:4" ht="21.75" customHeight="1">
      <c r="A575" s="15" t="s">
        <v>29</v>
      </c>
      <c r="B575" s="16" t="s">
        <v>31</v>
      </c>
      <c r="C575" s="15" t="str">
        <f>"20190112303"</f>
        <v>20190112303</v>
      </c>
      <c r="D575" s="17" t="s">
        <v>12</v>
      </c>
    </row>
    <row r="576" spans="1:4" ht="21.75" customHeight="1">
      <c r="A576" s="15" t="s">
        <v>29</v>
      </c>
      <c r="B576" s="16" t="s">
        <v>31</v>
      </c>
      <c r="C576" s="15" t="str">
        <f>"20190112304"</f>
        <v>20190112304</v>
      </c>
      <c r="D576" s="17">
        <v>60.5</v>
      </c>
    </row>
    <row r="577" spans="1:4" ht="21.75" customHeight="1">
      <c r="A577" s="15" t="s">
        <v>29</v>
      </c>
      <c r="B577" s="16" t="s">
        <v>31</v>
      </c>
      <c r="C577" s="15" t="str">
        <f>"20190112305"</f>
        <v>20190112305</v>
      </c>
      <c r="D577" s="17">
        <v>62.5</v>
      </c>
    </row>
    <row r="578" spans="1:5" ht="21.75" customHeight="1">
      <c r="A578" s="15" t="s">
        <v>29</v>
      </c>
      <c r="B578" s="16" t="s">
        <v>31</v>
      </c>
      <c r="C578" s="15" t="str">
        <f>"20190112306"</f>
        <v>20190112306</v>
      </c>
      <c r="D578" s="17" t="s">
        <v>12</v>
      </c>
      <c r="E578" s="19"/>
    </row>
    <row r="579" spans="1:5" ht="21.75" customHeight="1">
      <c r="A579" s="15" t="s">
        <v>29</v>
      </c>
      <c r="B579" s="16" t="s">
        <v>31</v>
      </c>
      <c r="C579" s="15" t="str">
        <f>"20190112307"</f>
        <v>20190112307</v>
      </c>
      <c r="D579" s="17">
        <v>63</v>
      </c>
      <c r="E579" s="19"/>
    </row>
    <row r="580" spans="1:5" ht="21.75" customHeight="1">
      <c r="A580" s="15" t="s">
        <v>29</v>
      </c>
      <c r="B580" s="16" t="s">
        <v>31</v>
      </c>
      <c r="C580" s="15" t="str">
        <f>"20190112308"</f>
        <v>20190112308</v>
      </c>
      <c r="D580" s="17">
        <v>71</v>
      </c>
      <c r="E580" s="18" t="s">
        <v>9</v>
      </c>
    </row>
    <row r="581" spans="1:5" ht="21.75" customHeight="1">
      <c r="A581" s="15" t="s">
        <v>29</v>
      </c>
      <c r="B581" s="16" t="s">
        <v>31</v>
      </c>
      <c r="C581" s="15" t="str">
        <f>"20190112309"</f>
        <v>20190112309</v>
      </c>
      <c r="D581" s="17">
        <v>69</v>
      </c>
      <c r="E581" s="18" t="s">
        <v>9</v>
      </c>
    </row>
    <row r="582" spans="1:4" ht="21.75" customHeight="1">
      <c r="A582" s="15" t="s">
        <v>29</v>
      </c>
      <c r="B582" s="16" t="s">
        <v>31</v>
      </c>
      <c r="C582" s="15" t="str">
        <f>"20190112310"</f>
        <v>20190112310</v>
      </c>
      <c r="D582" s="17" t="s">
        <v>12</v>
      </c>
    </row>
    <row r="583" spans="1:4" ht="21.75" customHeight="1">
      <c r="A583" s="15" t="s">
        <v>29</v>
      </c>
      <c r="B583" s="16" t="s">
        <v>31</v>
      </c>
      <c r="C583" s="15" t="str">
        <f>"20190112311"</f>
        <v>20190112311</v>
      </c>
      <c r="D583" s="17">
        <v>62.5</v>
      </c>
    </row>
    <row r="584" spans="1:4" ht="21.75" customHeight="1">
      <c r="A584" s="15" t="s">
        <v>29</v>
      </c>
      <c r="B584" s="16" t="s">
        <v>31</v>
      </c>
      <c r="C584" s="15" t="str">
        <f>"20190112312"</f>
        <v>20190112312</v>
      </c>
      <c r="D584" s="17" t="s">
        <v>12</v>
      </c>
    </row>
    <row r="585" spans="1:4" ht="21.75" customHeight="1">
      <c r="A585" s="15" t="s">
        <v>29</v>
      </c>
      <c r="B585" s="16" t="s">
        <v>31</v>
      </c>
      <c r="C585" s="15" t="str">
        <f>"20190112313"</f>
        <v>20190112313</v>
      </c>
      <c r="D585" s="17" t="s">
        <v>12</v>
      </c>
    </row>
    <row r="586" spans="1:4" ht="21.75" customHeight="1">
      <c r="A586" s="15" t="s">
        <v>29</v>
      </c>
      <c r="B586" s="16" t="s">
        <v>31</v>
      </c>
      <c r="C586" s="15" t="str">
        <f>"20190112314"</f>
        <v>20190112314</v>
      </c>
      <c r="D586" s="17" t="s">
        <v>12</v>
      </c>
    </row>
    <row r="587" spans="1:5" ht="21.75" customHeight="1">
      <c r="A587" s="15" t="s">
        <v>29</v>
      </c>
      <c r="B587" s="16" t="s">
        <v>31</v>
      </c>
      <c r="C587" s="15" t="str">
        <f>"20190112315"</f>
        <v>20190112315</v>
      </c>
      <c r="D587" s="17">
        <v>69.5</v>
      </c>
      <c r="E587" s="18" t="s">
        <v>9</v>
      </c>
    </row>
    <row r="588" spans="1:4" ht="21.75" customHeight="1">
      <c r="A588" s="15" t="s">
        <v>29</v>
      </c>
      <c r="B588" s="16" t="s">
        <v>31</v>
      </c>
      <c r="C588" s="15" t="str">
        <f>"20190112316"</f>
        <v>20190112316</v>
      </c>
      <c r="D588" s="17">
        <v>53.5</v>
      </c>
    </row>
    <row r="589" spans="1:4" ht="21.75" customHeight="1">
      <c r="A589" s="15" t="s">
        <v>29</v>
      </c>
      <c r="B589" s="16" t="s">
        <v>31</v>
      </c>
      <c r="C589" s="15" t="str">
        <f>"20190112317"</f>
        <v>20190112317</v>
      </c>
      <c r="D589" s="17">
        <v>64.5</v>
      </c>
    </row>
    <row r="590" spans="1:4" ht="21.75" customHeight="1">
      <c r="A590" s="15" t="s">
        <v>29</v>
      </c>
      <c r="B590" s="16" t="s">
        <v>31</v>
      </c>
      <c r="C590" s="15" t="str">
        <f>"20190112318"</f>
        <v>20190112318</v>
      </c>
      <c r="D590" s="17">
        <v>57</v>
      </c>
    </row>
    <row r="591" spans="1:4" ht="21.75" customHeight="1">
      <c r="A591" s="15" t="s">
        <v>29</v>
      </c>
      <c r="B591" s="16" t="s">
        <v>31</v>
      </c>
      <c r="C591" s="15" t="str">
        <f>"20190112319"</f>
        <v>20190112319</v>
      </c>
      <c r="D591" s="17">
        <v>64</v>
      </c>
    </row>
    <row r="592" spans="1:4" ht="21.75" customHeight="1">
      <c r="A592" s="15" t="s">
        <v>29</v>
      </c>
      <c r="B592" s="16" t="s">
        <v>31</v>
      </c>
      <c r="C592" s="15" t="str">
        <f>"20190112320"</f>
        <v>20190112320</v>
      </c>
      <c r="D592" s="17">
        <v>46.5</v>
      </c>
    </row>
    <row r="593" spans="1:4" ht="21.75" customHeight="1">
      <c r="A593" s="15" t="s">
        <v>29</v>
      </c>
      <c r="B593" s="16" t="s">
        <v>31</v>
      </c>
      <c r="C593" s="15" t="str">
        <f>"20190112321"</f>
        <v>20190112321</v>
      </c>
      <c r="D593" s="17">
        <v>57</v>
      </c>
    </row>
    <row r="594" spans="1:4" ht="21.75" customHeight="1">
      <c r="A594" s="15" t="s">
        <v>29</v>
      </c>
      <c r="B594" s="16" t="s">
        <v>31</v>
      </c>
      <c r="C594" s="15" t="str">
        <f>"20190112322"</f>
        <v>20190112322</v>
      </c>
      <c r="D594" s="17">
        <v>57.5</v>
      </c>
    </row>
    <row r="595" spans="1:4" ht="21.75" customHeight="1">
      <c r="A595" s="15" t="s">
        <v>29</v>
      </c>
      <c r="B595" s="16" t="s">
        <v>31</v>
      </c>
      <c r="C595" s="15" t="str">
        <f>"20190112323"</f>
        <v>20190112323</v>
      </c>
      <c r="D595" s="17">
        <v>62</v>
      </c>
    </row>
    <row r="596" spans="1:4" ht="21.75" customHeight="1">
      <c r="A596" s="15" t="s">
        <v>29</v>
      </c>
      <c r="B596" s="16" t="s">
        <v>31</v>
      </c>
      <c r="C596" s="15" t="str">
        <f>"20190112324"</f>
        <v>20190112324</v>
      </c>
      <c r="D596" s="17">
        <v>54</v>
      </c>
    </row>
    <row r="597" spans="1:4" ht="21.75" customHeight="1">
      <c r="A597" s="15" t="s">
        <v>29</v>
      </c>
      <c r="B597" s="16" t="s">
        <v>31</v>
      </c>
      <c r="C597" s="15" t="str">
        <f>"20190112325"</f>
        <v>20190112325</v>
      </c>
      <c r="D597" s="17">
        <v>57</v>
      </c>
    </row>
    <row r="598" spans="1:4" ht="21.75" customHeight="1">
      <c r="A598" s="15" t="s">
        <v>29</v>
      </c>
      <c r="B598" s="16" t="s">
        <v>32</v>
      </c>
      <c r="C598" s="15" t="str">
        <f>"20190112326"</f>
        <v>20190112326</v>
      </c>
      <c r="D598" s="17">
        <v>56</v>
      </c>
    </row>
    <row r="599" spans="1:4" ht="21.75" customHeight="1">
      <c r="A599" s="15" t="s">
        <v>29</v>
      </c>
      <c r="B599" s="16" t="s">
        <v>32</v>
      </c>
      <c r="C599" s="15" t="str">
        <f>"20190112327"</f>
        <v>20190112327</v>
      </c>
      <c r="D599" s="17">
        <v>51</v>
      </c>
    </row>
    <row r="600" spans="1:4" ht="21.75" customHeight="1">
      <c r="A600" s="15" t="s">
        <v>29</v>
      </c>
      <c r="B600" s="16" t="s">
        <v>32</v>
      </c>
      <c r="C600" s="15" t="str">
        <f>"20190112328"</f>
        <v>20190112328</v>
      </c>
      <c r="D600" s="17">
        <v>55</v>
      </c>
    </row>
    <row r="601" spans="1:4" ht="21.75" customHeight="1">
      <c r="A601" s="15" t="s">
        <v>29</v>
      </c>
      <c r="B601" s="16" t="s">
        <v>32</v>
      </c>
      <c r="C601" s="15" t="str">
        <f>"20190112329"</f>
        <v>20190112329</v>
      </c>
      <c r="D601" s="17">
        <v>57.5</v>
      </c>
    </row>
    <row r="602" spans="1:4" ht="21.75" customHeight="1">
      <c r="A602" s="15" t="s">
        <v>29</v>
      </c>
      <c r="B602" s="16" t="s">
        <v>32</v>
      </c>
      <c r="C602" s="15" t="str">
        <f>"20190112330"</f>
        <v>20190112330</v>
      </c>
      <c r="D602" s="17">
        <v>58.5</v>
      </c>
    </row>
    <row r="603" spans="1:4" ht="21.75" customHeight="1">
      <c r="A603" s="15" t="s">
        <v>29</v>
      </c>
      <c r="B603" s="16" t="s">
        <v>32</v>
      </c>
      <c r="C603" s="15" t="str">
        <f>"20190112401"</f>
        <v>20190112401</v>
      </c>
      <c r="D603" s="17" t="s">
        <v>12</v>
      </c>
    </row>
    <row r="604" spans="1:5" ht="21.75" customHeight="1">
      <c r="A604" s="15" t="s">
        <v>29</v>
      </c>
      <c r="B604" s="16" t="s">
        <v>32</v>
      </c>
      <c r="C604" s="15" t="str">
        <f>"20190112402"</f>
        <v>20190112402</v>
      </c>
      <c r="D604" s="17">
        <v>67</v>
      </c>
      <c r="E604" s="18" t="s">
        <v>9</v>
      </c>
    </row>
    <row r="605" spans="1:4" ht="21.75" customHeight="1">
      <c r="A605" s="15" t="s">
        <v>29</v>
      </c>
      <c r="B605" s="16" t="s">
        <v>32</v>
      </c>
      <c r="C605" s="15" t="str">
        <f>"20190112403"</f>
        <v>20190112403</v>
      </c>
      <c r="D605" s="17">
        <v>55.5</v>
      </c>
    </row>
    <row r="606" spans="1:4" ht="21.75" customHeight="1">
      <c r="A606" s="15" t="s">
        <v>29</v>
      </c>
      <c r="B606" s="16" t="s">
        <v>32</v>
      </c>
      <c r="C606" s="15" t="str">
        <f>"20190112404"</f>
        <v>20190112404</v>
      </c>
      <c r="D606" s="17" t="s">
        <v>12</v>
      </c>
    </row>
    <row r="607" spans="1:4" ht="21.75" customHeight="1">
      <c r="A607" s="15" t="s">
        <v>29</v>
      </c>
      <c r="B607" s="16" t="s">
        <v>32</v>
      </c>
      <c r="C607" s="15" t="str">
        <f>"20190112405"</f>
        <v>20190112405</v>
      </c>
      <c r="D607" s="17" t="s">
        <v>12</v>
      </c>
    </row>
    <row r="608" spans="1:4" ht="21.75" customHeight="1">
      <c r="A608" s="15" t="s">
        <v>29</v>
      </c>
      <c r="B608" s="16" t="s">
        <v>32</v>
      </c>
      <c r="C608" s="15" t="str">
        <f>"20190112406"</f>
        <v>20190112406</v>
      </c>
      <c r="D608" s="17">
        <v>65</v>
      </c>
    </row>
    <row r="609" spans="1:4" ht="21.75" customHeight="1">
      <c r="A609" s="15" t="s">
        <v>29</v>
      </c>
      <c r="B609" s="16" t="s">
        <v>32</v>
      </c>
      <c r="C609" s="15" t="str">
        <f>"20190112407"</f>
        <v>20190112407</v>
      </c>
      <c r="D609" s="17">
        <v>49.5</v>
      </c>
    </row>
    <row r="610" spans="1:4" ht="21.75" customHeight="1">
      <c r="A610" s="15" t="s">
        <v>29</v>
      </c>
      <c r="B610" s="16" t="s">
        <v>32</v>
      </c>
      <c r="C610" s="15" t="str">
        <f>"20190112408"</f>
        <v>20190112408</v>
      </c>
      <c r="D610" s="17">
        <v>52.5</v>
      </c>
    </row>
    <row r="611" spans="1:4" ht="21.75" customHeight="1">
      <c r="A611" s="15" t="s">
        <v>29</v>
      </c>
      <c r="B611" s="16" t="s">
        <v>32</v>
      </c>
      <c r="C611" s="15" t="str">
        <f>"20190112409"</f>
        <v>20190112409</v>
      </c>
      <c r="D611" s="17">
        <v>49.5</v>
      </c>
    </row>
    <row r="612" spans="1:4" ht="21.75" customHeight="1">
      <c r="A612" s="15" t="s">
        <v>29</v>
      </c>
      <c r="B612" s="16" t="s">
        <v>32</v>
      </c>
      <c r="C612" s="15" t="str">
        <f>"20190112410"</f>
        <v>20190112410</v>
      </c>
      <c r="D612" s="17" t="s">
        <v>12</v>
      </c>
    </row>
    <row r="613" spans="1:5" ht="21.75" customHeight="1">
      <c r="A613" s="15" t="s">
        <v>29</v>
      </c>
      <c r="B613" s="16" t="s">
        <v>32</v>
      </c>
      <c r="C613" s="15" t="str">
        <f>"20190112411"</f>
        <v>20190112411</v>
      </c>
      <c r="D613" s="17">
        <v>66.5</v>
      </c>
      <c r="E613" s="18" t="s">
        <v>9</v>
      </c>
    </row>
    <row r="614" spans="1:4" ht="21.75" customHeight="1">
      <c r="A614" s="15" t="s">
        <v>29</v>
      </c>
      <c r="B614" s="16" t="s">
        <v>32</v>
      </c>
      <c r="C614" s="15" t="str">
        <f>"20190112412"</f>
        <v>20190112412</v>
      </c>
      <c r="D614" s="17">
        <v>60</v>
      </c>
    </row>
    <row r="615" spans="1:5" ht="21.75" customHeight="1">
      <c r="A615" s="15" t="s">
        <v>29</v>
      </c>
      <c r="B615" s="16" t="s">
        <v>32</v>
      </c>
      <c r="C615" s="15" t="str">
        <f>"20190112413"</f>
        <v>20190112413</v>
      </c>
      <c r="D615" s="17">
        <v>72</v>
      </c>
      <c r="E615" s="18" t="s">
        <v>9</v>
      </c>
    </row>
    <row r="616" spans="1:4" ht="21.75" customHeight="1">
      <c r="A616" s="15" t="s">
        <v>29</v>
      </c>
      <c r="B616" s="16" t="s">
        <v>32</v>
      </c>
      <c r="C616" s="15" t="str">
        <f>"20190112414"</f>
        <v>20190112414</v>
      </c>
      <c r="D616" s="17">
        <v>61.5</v>
      </c>
    </row>
    <row r="617" spans="1:4" ht="21.75" customHeight="1">
      <c r="A617" s="15" t="s">
        <v>29</v>
      </c>
      <c r="B617" s="16" t="s">
        <v>32</v>
      </c>
      <c r="C617" s="15" t="str">
        <f>"20190112415"</f>
        <v>20190112415</v>
      </c>
      <c r="D617" s="17">
        <v>49</v>
      </c>
    </row>
    <row r="618" spans="1:4" ht="21.75" customHeight="1">
      <c r="A618" s="15" t="s">
        <v>29</v>
      </c>
      <c r="B618" s="16" t="s">
        <v>32</v>
      </c>
      <c r="C618" s="15" t="str">
        <f>"20190112416"</f>
        <v>20190112416</v>
      </c>
      <c r="D618" s="17">
        <v>63</v>
      </c>
    </row>
    <row r="619" spans="1:4" ht="21.75" customHeight="1">
      <c r="A619" s="15" t="s">
        <v>29</v>
      </c>
      <c r="B619" s="16" t="s">
        <v>32</v>
      </c>
      <c r="C619" s="15" t="str">
        <f>"20190112417"</f>
        <v>20190112417</v>
      </c>
      <c r="D619" s="17">
        <v>64</v>
      </c>
    </row>
    <row r="620" spans="1:4" ht="21.75" customHeight="1">
      <c r="A620" s="15" t="s">
        <v>29</v>
      </c>
      <c r="B620" s="16" t="s">
        <v>32</v>
      </c>
      <c r="C620" s="15" t="str">
        <f>"20190112418"</f>
        <v>20190112418</v>
      </c>
      <c r="D620" s="17" t="s">
        <v>12</v>
      </c>
    </row>
    <row r="621" spans="1:4" ht="21.75" customHeight="1">
      <c r="A621" s="15" t="s">
        <v>29</v>
      </c>
      <c r="B621" s="16" t="s">
        <v>32</v>
      </c>
      <c r="C621" s="15" t="str">
        <f>"20190112419"</f>
        <v>20190112419</v>
      </c>
      <c r="D621" s="17" t="s">
        <v>12</v>
      </c>
    </row>
    <row r="622" spans="1:4" ht="21.75" customHeight="1">
      <c r="A622" s="15" t="s">
        <v>29</v>
      </c>
      <c r="B622" s="16" t="s">
        <v>32</v>
      </c>
      <c r="C622" s="15" t="str">
        <f>"20190112420"</f>
        <v>20190112420</v>
      </c>
      <c r="D622" s="17">
        <v>62.5</v>
      </c>
    </row>
    <row r="623" spans="1:4" ht="21.75" customHeight="1">
      <c r="A623" s="15" t="s">
        <v>29</v>
      </c>
      <c r="B623" s="16" t="s">
        <v>32</v>
      </c>
      <c r="C623" s="15" t="str">
        <f>"20190112421"</f>
        <v>20190112421</v>
      </c>
      <c r="D623" s="17">
        <v>65</v>
      </c>
    </row>
    <row r="624" spans="1:4" ht="21.75" customHeight="1">
      <c r="A624" s="15" t="s">
        <v>29</v>
      </c>
      <c r="B624" s="16" t="s">
        <v>32</v>
      </c>
      <c r="C624" s="15" t="str">
        <f>"20190112422"</f>
        <v>20190112422</v>
      </c>
      <c r="D624" s="17">
        <v>53.5</v>
      </c>
    </row>
    <row r="625" spans="1:4" ht="21.75" customHeight="1">
      <c r="A625" s="15" t="s">
        <v>29</v>
      </c>
      <c r="B625" s="16" t="s">
        <v>32</v>
      </c>
      <c r="C625" s="15" t="str">
        <f>"20190112423"</f>
        <v>20190112423</v>
      </c>
      <c r="D625" s="17" t="s">
        <v>12</v>
      </c>
    </row>
    <row r="626" spans="1:4" ht="21.75" customHeight="1">
      <c r="A626" s="15" t="s">
        <v>29</v>
      </c>
      <c r="B626" s="16" t="s">
        <v>32</v>
      </c>
      <c r="C626" s="15" t="str">
        <f>"20190112424"</f>
        <v>20190112424</v>
      </c>
      <c r="D626" s="17">
        <v>61.5</v>
      </c>
    </row>
    <row r="627" spans="1:4" ht="21.75" customHeight="1">
      <c r="A627" s="15" t="s">
        <v>29</v>
      </c>
      <c r="B627" s="16" t="s">
        <v>32</v>
      </c>
      <c r="C627" s="15" t="str">
        <f>"20190112425"</f>
        <v>20190112425</v>
      </c>
      <c r="D627" s="17">
        <v>55</v>
      </c>
    </row>
    <row r="628" spans="1:4" ht="21.75" customHeight="1">
      <c r="A628" s="15" t="s">
        <v>29</v>
      </c>
      <c r="B628" s="16" t="s">
        <v>32</v>
      </c>
      <c r="C628" s="15" t="str">
        <f>"20190112426"</f>
        <v>20190112426</v>
      </c>
      <c r="D628" s="17">
        <v>57</v>
      </c>
    </row>
    <row r="629" spans="1:4" ht="21.75" customHeight="1">
      <c r="A629" s="15" t="s">
        <v>29</v>
      </c>
      <c r="B629" s="16" t="s">
        <v>32</v>
      </c>
      <c r="C629" s="15" t="str">
        <f>"20190112427"</f>
        <v>20190112427</v>
      </c>
      <c r="D629" s="17" t="s">
        <v>12</v>
      </c>
    </row>
    <row r="630" spans="1:4" ht="21.75" customHeight="1">
      <c r="A630" s="15" t="s">
        <v>29</v>
      </c>
      <c r="B630" s="16" t="s">
        <v>32</v>
      </c>
      <c r="C630" s="15" t="str">
        <f>"20190112428"</f>
        <v>20190112428</v>
      </c>
      <c r="D630" s="17">
        <v>49</v>
      </c>
    </row>
    <row r="631" spans="1:4" ht="21.75" customHeight="1">
      <c r="A631" s="15" t="s">
        <v>29</v>
      </c>
      <c r="B631" s="16" t="s">
        <v>32</v>
      </c>
      <c r="C631" s="15" t="str">
        <f>"20190112429"</f>
        <v>20190112429</v>
      </c>
      <c r="D631" s="17" t="s">
        <v>12</v>
      </c>
    </row>
    <row r="632" spans="1:4" ht="21.75" customHeight="1">
      <c r="A632" s="15" t="s">
        <v>29</v>
      </c>
      <c r="B632" s="16" t="s">
        <v>32</v>
      </c>
      <c r="C632" s="15" t="str">
        <f>"20190112430"</f>
        <v>20190112430</v>
      </c>
      <c r="D632" s="17">
        <v>61</v>
      </c>
    </row>
    <row r="633" spans="1:4" ht="21.75" customHeight="1">
      <c r="A633" s="15" t="s">
        <v>29</v>
      </c>
      <c r="B633" s="16" t="s">
        <v>32</v>
      </c>
      <c r="C633" s="15" t="str">
        <f>"20190112501"</f>
        <v>20190112501</v>
      </c>
      <c r="D633" s="17">
        <v>61.5</v>
      </c>
    </row>
    <row r="634" spans="1:4" ht="21.75" customHeight="1">
      <c r="A634" s="15" t="s">
        <v>29</v>
      </c>
      <c r="B634" s="16" t="s">
        <v>32</v>
      </c>
      <c r="C634" s="15" t="str">
        <f>"20190112502"</f>
        <v>20190112502</v>
      </c>
      <c r="D634" s="17">
        <v>54.5</v>
      </c>
    </row>
    <row r="635" spans="1:5" ht="21.75" customHeight="1">
      <c r="A635" s="15" t="s">
        <v>33</v>
      </c>
      <c r="B635" s="16" t="s">
        <v>34</v>
      </c>
      <c r="C635" s="15" t="str">
        <f>"20190118603"</f>
        <v>20190118603</v>
      </c>
      <c r="D635" s="17">
        <v>71.5</v>
      </c>
      <c r="E635" s="18" t="s">
        <v>9</v>
      </c>
    </row>
    <row r="636" spans="1:4" ht="21.75" customHeight="1">
      <c r="A636" s="15" t="s">
        <v>33</v>
      </c>
      <c r="B636" s="16" t="s">
        <v>34</v>
      </c>
      <c r="C636" s="15" t="str">
        <f>"20190118604"</f>
        <v>20190118604</v>
      </c>
      <c r="D636" s="17">
        <v>62.5</v>
      </c>
    </row>
    <row r="637" spans="1:4" ht="21.75" customHeight="1">
      <c r="A637" s="15" t="s">
        <v>33</v>
      </c>
      <c r="B637" s="16" t="s">
        <v>34</v>
      </c>
      <c r="C637" s="15" t="str">
        <f>"20190118605"</f>
        <v>20190118605</v>
      </c>
      <c r="D637" s="17">
        <v>68</v>
      </c>
    </row>
    <row r="638" spans="1:4" ht="21.75" customHeight="1">
      <c r="A638" s="15" t="s">
        <v>33</v>
      </c>
      <c r="B638" s="16" t="s">
        <v>34</v>
      </c>
      <c r="C638" s="15" t="str">
        <f>"20190118606"</f>
        <v>20190118606</v>
      </c>
      <c r="D638" s="17">
        <v>48</v>
      </c>
    </row>
    <row r="639" spans="1:4" ht="21.75" customHeight="1">
      <c r="A639" s="15" t="s">
        <v>33</v>
      </c>
      <c r="B639" s="16" t="s">
        <v>34</v>
      </c>
      <c r="C639" s="15" t="str">
        <f>"20190118607"</f>
        <v>20190118607</v>
      </c>
      <c r="D639" s="17">
        <v>56.5</v>
      </c>
    </row>
    <row r="640" spans="1:4" ht="21.75" customHeight="1">
      <c r="A640" s="15" t="s">
        <v>33</v>
      </c>
      <c r="B640" s="16" t="s">
        <v>34</v>
      </c>
      <c r="C640" s="15" t="str">
        <f>"20190118608"</f>
        <v>20190118608</v>
      </c>
      <c r="D640" s="17">
        <v>52</v>
      </c>
    </row>
    <row r="641" spans="1:4" ht="21.75" customHeight="1">
      <c r="A641" s="15" t="s">
        <v>33</v>
      </c>
      <c r="B641" s="16" t="s">
        <v>34</v>
      </c>
      <c r="C641" s="15" t="str">
        <f>"20190118609"</f>
        <v>20190118609</v>
      </c>
      <c r="D641" s="17">
        <v>63.5</v>
      </c>
    </row>
    <row r="642" spans="1:4" ht="21.75" customHeight="1">
      <c r="A642" s="15" t="s">
        <v>33</v>
      </c>
      <c r="B642" s="16" t="s">
        <v>34</v>
      </c>
      <c r="C642" s="15" t="str">
        <f>"20190118610"</f>
        <v>20190118610</v>
      </c>
      <c r="D642" s="17">
        <v>61.5</v>
      </c>
    </row>
    <row r="643" spans="1:4" ht="21.75" customHeight="1">
      <c r="A643" s="15" t="s">
        <v>33</v>
      </c>
      <c r="B643" s="16" t="s">
        <v>34</v>
      </c>
      <c r="C643" s="15" t="str">
        <f>"20190118611"</f>
        <v>20190118611</v>
      </c>
      <c r="D643" s="17">
        <v>53.5</v>
      </c>
    </row>
    <row r="644" spans="1:4" ht="21.75" customHeight="1">
      <c r="A644" s="15" t="s">
        <v>33</v>
      </c>
      <c r="B644" s="16" t="s">
        <v>34</v>
      </c>
      <c r="C644" s="15" t="str">
        <f>"20190118612"</f>
        <v>20190118612</v>
      </c>
      <c r="D644" s="17">
        <v>69.5</v>
      </c>
    </row>
    <row r="645" spans="1:4" ht="21.75" customHeight="1">
      <c r="A645" s="15" t="s">
        <v>33</v>
      </c>
      <c r="B645" s="16" t="s">
        <v>34</v>
      </c>
      <c r="C645" s="15" t="str">
        <f>"20190118613"</f>
        <v>20190118613</v>
      </c>
      <c r="D645" s="17" t="s">
        <v>12</v>
      </c>
    </row>
    <row r="646" spans="1:4" ht="21.75" customHeight="1">
      <c r="A646" s="15" t="s">
        <v>33</v>
      </c>
      <c r="B646" s="16" t="s">
        <v>34</v>
      </c>
      <c r="C646" s="15" t="str">
        <f>"20190118614"</f>
        <v>20190118614</v>
      </c>
      <c r="D646" s="17" t="s">
        <v>12</v>
      </c>
    </row>
    <row r="647" spans="1:4" ht="21.75" customHeight="1">
      <c r="A647" s="15" t="s">
        <v>33</v>
      </c>
      <c r="B647" s="16" t="s">
        <v>34</v>
      </c>
      <c r="C647" s="15" t="str">
        <f>"20190118615"</f>
        <v>20190118615</v>
      </c>
      <c r="D647" s="17" t="s">
        <v>12</v>
      </c>
    </row>
    <row r="648" spans="1:4" ht="21.75" customHeight="1">
      <c r="A648" s="15" t="s">
        <v>33</v>
      </c>
      <c r="B648" s="16" t="s">
        <v>34</v>
      </c>
      <c r="C648" s="15" t="str">
        <f>"20190118616"</f>
        <v>20190118616</v>
      </c>
      <c r="D648" s="17">
        <v>54</v>
      </c>
    </row>
    <row r="649" spans="1:4" ht="21.75" customHeight="1">
      <c r="A649" s="15" t="s">
        <v>33</v>
      </c>
      <c r="B649" s="16" t="s">
        <v>34</v>
      </c>
      <c r="C649" s="15" t="str">
        <f>"20190118617"</f>
        <v>20190118617</v>
      </c>
      <c r="D649" s="17">
        <v>69</v>
      </c>
    </row>
    <row r="650" spans="1:4" ht="21.75" customHeight="1">
      <c r="A650" s="15" t="s">
        <v>33</v>
      </c>
      <c r="B650" s="16" t="s">
        <v>34</v>
      </c>
      <c r="C650" s="15" t="str">
        <f>"20190118618"</f>
        <v>20190118618</v>
      </c>
      <c r="D650" s="17">
        <v>47.5</v>
      </c>
    </row>
    <row r="651" spans="1:4" ht="21.75" customHeight="1">
      <c r="A651" s="15" t="s">
        <v>33</v>
      </c>
      <c r="B651" s="16" t="s">
        <v>34</v>
      </c>
      <c r="C651" s="15" t="str">
        <f>"20190118619"</f>
        <v>20190118619</v>
      </c>
      <c r="D651" s="17">
        <v>62.5</v>
      </c>
    </row>
    <row r="652" spans="1:4" ht="21.75" customHeight="1">
      <c r="A652" s="15" t="s">
        <v>33</v>
      </c>
      <c r="B652" s="16" t="s">
        <v>34</v>
      </c>
      <c r="C652" s="15" t="str">
        <f>"20190118620"</f>
        <v>20190118620</v>
      </c>
      <c r="D652" s="17">
        <v>58</v>
      </c>
    </row>
    <row r="653" spans="1:4" ht="21.75" customHeight="1">
      <c r="A653" s="15" t="s">
        <v>33</v>
      </c>
      <c r="B653" s="16" t="s">
        <v>34</v>
      </c>
      <c r="C653" s="15" t="str">
        <f>"20190118621"</f>
        <v>20190118621</v>
      </c>
      <c r="D653" s="17">
        <v>56.5</v>
      </c>
    </row>
    <row r="654" spans="1:4" ht="21.75" customHeight="1">
      <c r="A654" s="15" t="s">
        <v>33</v>
      </c>
      <c r="B654" s="16" t="s">
        <v>34</v>
      </c>
      <c r="C654" s="15" t="str">
        <f>"20190118622"</f>
        <v>20190118622</v>
      </c>
      <c r="D654" s="17" t="s">
        <v>12</v>
      </c>
    </row>
    <row r="655" spans="1:4" ht="21.75" customHeight="1">
      <c r="A655" s="15" t="s">
        <v>33</v>
      </c>
      <c r="B655" s="16" t="s">
        <v>34</v>
      </c>
      <c r="C655" s="15" t="str">
        <f>"20190118623"</f>
        <v>20190118623</v>
      </c>
      <c r="D655" s="17">
        <v>57.5</v>
      </c>
    </row>
    <row r="656" spans="1:4" ht="21.75" customHeight="1">
      <c r="A656" s="15" t="s">
        <v>33</v>
      </c>
      <c r="B656" s="16" t="s">
        <v>34</v>
      </c>
      <c r="C656" s="15" t="str">
        <f>"20190118624"</f>
        <v>20190118624</v>
      </c>
      <c r="D656" s="17">
        <v>56.5</v>
      </c>
    </row>
    <row r="657" spans="1:4" ht="21.75" customHeight="1">
      <c r="A657" s="15" t="s">
        <v>33</v>
      </c>
      <c r="B657" s="16" t="s">
        <v>34</v>
      </c>
      <c r="C657" s="15" t="str">
        <f>"20190118625"</f>
        <v>20190118625</v>
      </c>
      <c r="D657" s="17" t="s">
        <v>12</v>
      </c>
    </row>
    <row r="658" spans="1:4" ht="21.75" customHeight="1">
      <c r="A658" s="15" t="s">
        <v>33</v>
      </c>
      <c r="B658" s="16" t="s">
        <v>34</v>
      </c>
      <c r="C658" s="15" t="str">
        <f>"20190118626"</f>
        <v>20190118626</v>
      </c>
      <c r="D658" s="17">
        <v>51.5</v>
      </c>
    </row>
    <row r="659" spans="1:4" ht="21.75" customHeight="1">
      <c r="A659" s="15" t="s">
        <v>33</v>
      </c>
      <c r="B659" s="16" t="s">
        <v>34</v>
      </c>
      <c r="C659" s="15" t="str">
        <f>"20190118627"</f>
        <v>20190118627</v>
      </c>
      <c r="D659" s="17">
        <v>53</v>
      </c>
    </row>
    <row r="660" spans="1:4" ht="21.75" customHeight="1">
      <c r="A660" s="15" t="s">
        <v>33</v>
      </c>
      <c r="B660" s="16" t="s">
        <v>34</v>
      </c>
      <c r="C660" s="15" t="str">
        <f>"20190118628"</f>
        <v>20190118628</v>
      </c>
      <c r="D660" s="17">
        <v>57</v>
      </c>
    </row>
    <row r="661" spans="1:4" ht="21.75" customHeight="1">
      <c r="A661" s="15" t="s">
        <v>33</v>
      </c>
      <c r="B661" s="16" t="s">
        <v>34</v>
      </c>
      <c r="C661" s="15" t="str">
        <f>"20190118629"</f>
        <v>20190118629</v>
      </c>
      <c r="D661" s="17">
        <v>70.5</v>
      </c>
    </row>
    <row r="662" spans="1:4" ht="21.75" customHeight="1">
      <c r="A662" s="15" t="s">
        <v>33</v>
      </c>
      <c r="B662" s="16" t="s">
        <v>34</v>
      </c>
      <c r="C662" s="15" t="str">
        <f>"20190118630"</f>
        <v>20190118630</v>
      </c>
      <c r="D662" s="17">
        <v>53.5</v>
      </c>
    </row>
    <row r="663" spans="1:4" ht="21.75" customHeight="1">
      <c r="A663" s="15" t="s">
        <v>33</v>
      </c>
      <c r="B663" s="16" t="s">
        <v>34</v>
      </c>
      <c r="C663" s="15" t="str">
        <f>"20190118701"</f>
        <v>20190118701</v>
      </c>
      <c r="D663" s="17" t="s">
        <v>12</v>
      </c>
    </row>
    <row r="664" spans="1:4" ht="21.75" customHeight="1">
      <c r="A664" s="15" t="s">
        <v>33</v>
      </c>
      <c r="B664" s="16" t="s">
        <v>34</v>
      </c>
      <c r="C664" s="15" t="str">
        <f>"20190118702"</f>
        <v>20190118702</v>
      </c>
      <c r="D664" s="17">
        <v>65</v>
      </c>
    </row>
    <row r="665" spans="1:4" ht="21.75" customHeight="1">
      <c r="A665" s="15" t="s">
        <v>33</v>
      </c>
      <c r="B665" s="16" t="s">
        <v>34</v>
      </c>
      <c r="C665" s="15" t="str">
        <f>"20190118703"</f>
        <v>20190118703</v>
      </c>
      <c r="D665" s="17" t="s">
        <v>12</v>
      </c>
    </row>
    <row r="666" spans="1:4" ht="21.75" customHeight="1">
      <c r="A666" s="15" t="s">
        <v>33</v>
      </c>
      <c r="B666" s="16" t="s">
        <v>34</v>
      </c>
      <c r="C666" s="15" t="str">
        <f>"20190118704"</f>
        <v>20190118704</v>
      </c>
      <c r="D666" s="17">
        <v>54.5</v>
      </c>
    </row>
    <row r="667" spans="1:4" ht="21.75" customHeight="1">
      <c r="A667" s="15" t="s">
        <v>33</v>
      </c>
      <c r="B667" s="16" t="s">
        <v>34</v>
      </c>
      <c r="C667" s="15" t="str">
        <f>"20190118705"</f>
        <v>20190118705</v>
      </c>
      <c r="D667" s="17">
        <v>56.5</v>
      </c>
    </row>
    <row r="668" spans="1:4" ht="21.75" customHeight="1">
      <c r="A668" s="15" t="s">
        <v>33</v>
      </c>
      <c r="B668" s="16" t="s">
        <v>34</v>
      </c>
      <c r="C668" s="15" t="str">
        <f>"20190118706"</f>
        <v>20190118706</v>
      </c>
      <c r="D668" s="17">
        <v>52</v>
      </c>
    </row>
    <row r="669" spans="1:4" ht="21.75" customHeight="1">
      <c r="A669" s="15" t="s">
        <v>33</v>
      </c>
      <c r="B669" s="16" t="s">
        <v>34</v>
      </c>
      <c r="C669" s="15" t="str">
        <f>"20190118707"</f>
        <v>20190118707</v>
      </c>
      <c r="D669" s="17">
        <v>56.5</v>
      </c>
    </row>
    <row r="670" spans="1:5" ht="21.75" customHeight="1">
      <c r="A670" s="15" t="s">
        <v>33</v>
      </c>
      <c r="B670" s="16" t="s">
        <v>34</v>
      </c>
      <c r="C670" s="15" t="str">
        <f>"20190118708"</f>
        <v>20190118708</v>
      </c>
      <c r="D670" s="17">
        <v>71</v>
      </c>
      <c r="E670" s="18" t="s">
        <v>9</v>
      </c>
    </row>
    <row r="671" spans="1:4" ht="21.75" customHeight="1">
      <c r="A671" s="15" t="s">
        <v>33</v>
      </c>
      <c r="B671" s="16" t="s">
        <v>34</v>
      </c>
      <c r="C671" s="15" t="str">
        <f>"20190118709"</f>
        <v>20190118709</v>
      </c>
      <c r="D671" s="17">
        <v>56</v>
      </c>
    </row>
    <row r="672" spans="1:4" ht="21.75" customHeight="1">
      <c r="A672" s="15" t="s">
        <v>33</v>
      </c>
      <c r="B672" s="16" t="s">
        <v>34</v>
      </c>
      <c r="C672" s="15" t="str">
        <f>"20190118710"</f>
        <v>20190118710</v>
      </c>
      <c r="D672" s="17">
        <v>60</v>
      </c>
    </row>
    <row r="673" spans="1:4" ht="21.75" customHeight="1">
      <c r="A673" s="15" t="s">
        <v>33</v>
      </c>
      <c r="B673" s="16" t="s">
        <v>34</v>
      </c>
      <c r="C673" s="15" t="str">
        <f>"20190118711"</f>
        <v>20190118711</v>
      </c>
      <c r="D673" s="17">
        <v>57.5</v>
      </c>
    </row>
    <row r="674" spans="1:4" ht="21.75" customHeight="1">
      <c r="A674" s="15" t="s">
        <v>33</v>
      </c>
      <c r="B674" s="16" t="s">
        <v>34</v>
      </c>
      <c r="C674" s="15" t="str">
        <f>"20190118712"</f>
        <v>20190118712</v>
      </c>
      <c r="D674" s="17" t="s">
        <v>12</v>
      </c>
    </row>
    <row r="675" spans="1:4" ht="21.75" customHeight="1">
      <c r="A675" s="15" t="s">
        <v>33</v>
      </c>
      <c r="B675" s="16" t="s">
        <v>34</v>
      </c>
      <c r="C675" s="15" t="str">
        <f>"20190118713"</f>
        <v>20190118713</v>
      </c>
      <c r="D675" s="17" t="s">
        <v>12</v>
      </c>
    </row>
    <row r="676" spans="1:4" ht="21.75" customHeight="1">
      <c r="A676" s="15" t="s">
        <v>33</v>
      </c>
      <c r="B676" s="16" t="s">
        <v>34</v>
      </c>
      <c r="C676" s="15" t="str">
        <f>"20190118714"</f>
        <v>20190118714</v>
      </c>
      <c r="D676" s="17">
        <v>60</v>
      </c>
    </row>
    <row r="677" spans="1:4" ht="21.75" customHeight="1">
      <c r="A677" s="15" t="s">
        <v>33</v>
      </c>
      <c r="B677" s="16" t="s">
        <v>34</v>
      </c>
      <c r="C677" s="15" t="str">
        <f>"20190118715"</f>
        <v>20190118715</v>
      </c>
      <c r="D677" s="17">
        <v>64</v>
      </c>
    </row>
    <row r="678" spans="1:4" ht="21.75" customHeight="1">
      <c r="A678" s="15" t="s">
        <v>33</v>
      </c>
      <c r="B678" s="16" t="s">
        <v>34</v>
      </c>
      <c r="C678" s="15" t="str">
        <f>"20190118716"</f>
        <v>20190118716</v>
      </c>
      <c r="D678" s="17" t="s">
        <v>12</v>
      </c>
    </row>
    <row r="679" spans="1:4" ht="21.75" customHeight="1">
      <c r="A679" s="15" t="s">
        <v>33</v>
      </c>
      <c r="B679" s="16" t="s">
        <v>34</v>
      </c>
      <c r="C679" s="15" t="str">
        <f>"20190118717"</f>
        <v>20190118717</v>
      </c>
      <c r="D679" s="17" t="s">
        <v>12</v>
      </c>
    </row>
    <row r="680" spans="1:4" ht="21.75" customHeight="1">
      <c r="A680" s="15" t="s">
        <v>33</v>
      </c>
      <c r="B680" s="16" t="s">
        <v>34</v>
      </c>
      <c r="C680" s="15" t="str">
        <f>"20190118718"</f>
        <v>20190118718</v>
      </c>
      <c r="D680" s="17">
        <v>67.5</v>
      </c>
    </row>
    <row r="681" spans="1:4" ht="21.75" customHeight="1">
      <c r="A681" s="15" t="s">
        <v>33</v>
      </c>
      <c r="B681" s="16" t="s">
        <v>34</v>
      </c>
      <c r="C681" s="15" t="str">
        <f>"20190118719"</f>
        <v>20190118719</v>
      </c>
      <c r="D681" s="17">
        <v>59.5</v>
      </c>
    </row>
    <row r="682" spans="1:4" ht="21.75" customHeight="1">
      <c r="A682" s="15" t="s">
        <v>33</v>
      </c>
      <c r="B682" s="16" t="s">
        <v>34</v>
      </c>
      <c r="C682" s="15" t="str">
        <f>"20190118720"</f>
        <v>20190118720</v>
      </c>
      <c r="D682" s="17">
        <v>53</v>
      </c>
    </row>
    <row r="683" spans="1:4" ht="21.75" customHeight="1">
      <c r="A683" s="15" t="s">
        <v>33</v>
      </c>
      <c r="B683" s="16" t="s">
        <v>34</v>
      </c>
      <c r="C683" s="15" t="str">
        <f>"20190118721"</f>
        <v>20190118721</v>
      </c>
      <c r="D683" s="17">
        <v>58</v>
      </c>
    </row>
    <row r="684" spans="1:4" ht="21.75" customHeight="1">
      <c r="A684" s="15" t="s">
        <v>33</v>
      </c>
      <c r="B684" s="16" t="s">
        <v>34</v>
      </c>
      <c r="C684" s="15" t="str">
        <f>"20190118722"</f>
        <v>20190118722</v>
      </c>
      <c r="D684" s="17">
        <v>64.5</v>
      </c>
    </row>
    <row r="685" spans="1:4" ht="21.75" customHeight="1">
      <c r="A685" s="15" t="s">
        <v>33</v>
      </c>
      <c r="B685" s="16" t="s">
        <v>34</v>
      </c>
      <c r="C685" s="15" t="str">
        <f>"20190118723"</f>
        <v>20190118723</v>
      </c>
      <c r="D685" s="17">
        <v>58.5</v>
      </c>
    </row>
    <row r="686" spans="1:4" ht="21.75" customHeight="1">
      <c r="A686" s="15" t="s">
        <v>33</v>
      </c>
      <c r="B686" s="16" t="s">
        <v>34</v>
      </c>
      <c r="C686" s="15" t="str">
        <f>"20190118724"</f>
        <v>20190118724</v>
      </c>
      <c r="D686" s="17">
        <v>54.5</v>
      </c>
    </row>
    <row r="687" spans="1:4" ht="21.75" customHeight="1">
      <c r="A687" s="15" t="s">
        <v>33</v>
      </c>
      <c r="B687" s="16" t="s">
        <v>34</v>
      </c>
      <c r="C687" s="15" t="str">
        <f>"20190118725"</f>
        <v>20190118725</v>
      </c>
      <c r="D687" s="17">
        <v>49</v>
      </c>
    </row>
    <row r="688" spans="1:4" ht="21.75" customHeight="1">
      <c r="A688" s="15" t="s">
        <v>33</v>
      </c>
      <c r="B688" s="16" t="s">
        <v>34</v>
      </c>
      <c r="C688" s="15" t="str">
        <f>"20190118726"</f>
        <v>20190118726</v>
      </c>
      <c r="D688" s="17">
        <v>58.5</v>
      </c>
    </row>
    <row r="689" spans="1:5" ht="21.75" customHeight="1">
      <c r="A689" s="15" t="s">
        <v>33</v>
      </c>
      <c r="B689" s="16" t="s">
        <v>34</v>
      </c>
      <c r="C689" s="15" t="str">
        <f>"20190118727"</f>
        <v>20190118727</v>
      </c>
      <c r="D689" s="17">
        <v>80.5</v>
      </c>
      <c r="E689" s="18" t="s">
        <v>9</v>
      </c>
    </row>
    <row r="690" spans="1:4" ht="21.75" customHeight="1">
      <c r="A690" s="15" t="s">
        <v>33</v>
      </c>
      <c r="B690" s="16" t="s">
        <v>34</v>
      </c>
      <c r="C690" s="15" t="str">
        <f>"20190118728"</f>
        <v>20190118728</v>
      </c>
      <c r="D690" s="17" t="s">
        <v>12</v>
      </c>
    </row>
    <row r="691" spans="1:4" ht="21.75" customHeight="1">
      <c r="A691" s="15" t="s">
        <v>33</v>
      </c>
      <c r="B691" s="16" t="s">
        <v>34</v>
      </c>
      <c r="C691" s="15" t="str">
        <f>"20190118729"</f>
        <v>20190118729</v>
      </c>
      <c r="D691" s="17">
        <v>61</v>
      </c>
    </row>
    <row r="692" spans="1:4" ht="21.75" customHeight="1">
      <c r="A692" s="15" t="s">
        <v>33</v>
      </c>
      <c r="B692" s="16" t="s">
        <v>34</v>
      </c>
      <c r="C692" s="15" t="str">
        <f>"20190118730"</f>
        <v>20190118730</v>
      </c>
      <c r="D692" s="17">
        <v>66</v>
      </c>
    </row>
    <row r="693" spans="1:4" ht="21.75" customHeight="1">
      <c r="A693" s="15" t="s">
        <v>33</v>
      </c>
      <c r="B693" s="16" t="s">
        <v>34</v>
      </c>
      <c r="C693" s="15" t="str">
        <f>"20190118801"</f>
        <v>20190118801</v>
      </c>
      <c r="D693" s="17" t="s">
        <v>12</v>
      </c>
    </row>
    <row r="694" spans="1:4" ht="21.75" customHeight="1">
      <c r="A694" s="15" t="s">
        <v>33</v>
      </c>
      <c r="B694" s="16" t="s">
        <v>34</v>
      </c>
      <c r="C694" s="15" t="str">
        <f>"20190118802"</f>
        <v>20190118802</v>
      </c>
      <c r="D694" s="17">
        <v>57</v>
      </c>
    </row>
    <row r="695" spans="1:4" ht="21.75" customHeight="1">
      <c r="A695" s="15" t="s">
        <v>33</v>
      </c>
      <c r="B695" s="16" t="s">
        <v>34</v>
      </c>
      <c r="C695" s="15" t="str">
        <f>"20190118803"</f>
        <v>20190118803</v>
      </c>
      <c r="D695" s="17">
        <v>47</v>
      </c>
    </row>
    <row r="696" spans="1:4" ht="21.75" customHeight="1">
      <c r="A696" s="15" t="s">
        <v>33</v>
      </c>
      <c r="B696" s="16" t="s">
        <v>34</v>
      </c>
      <c r="C696" s="15" t="str">
        <f>"20190118804"</f>
        <v>20190118804</v>
      </c>
      <c r="D696" s="17" t="s">
        <v>12</v>
      </c>
    </row>
    <row r="697" spans="1:4" ht="21.75" customHeight="1">
      <c r="A697" s="15" t="s">
        <v>33</v>
      </c>
      <c r="B697" s="16" t="s">
        <v>34</v>
      </c>
      <c r="C697" s="15" t="str">
        <f>"20190118805"</f>
        <v>20190118805</v>
      </c>
      <c r="D697" s="17">
        <v>61</v>
      </c>
    </row>
    <row r="698" spans="1:5" ht="21.75" customHeight="1">
      <c r="A698" s="15" t="s">
        <v>33</v>
      </c>
      <c r="B698" s="16" t="s">
        <v>34</v>
      </c>
      <c r="C698" s="15" t="str">
        <f>"20190118806"</f>
        <v>20190118806</v>
      </c>
      <c r="D698" s="17">
        <v>65.5</v>
      </c>
      <c r="E698" s="19"/>
    </row>
    <row r="699" spans="1:5" ht="21.75" customHeight="1">
      <c r="A699" s="15" t="s">
        <v>33</v>
      </c>
      <c r="B699" s="16" t="s">
        <v>34</v>
      </c>
      <c r="C699" s="15" t="str">
        <f>"20190118807"</f>
        <v>20190118807</v>
      </c>
      <c r="D699" s="17">
        <v>64</v>
      </c>
      <c r="E699" s="19"/>
    </row>
    <row r="700" spans="1:5" ht="21.75" customHeight="1">
      <c r="A700" s="15" t="s">
        <v>33</v>
      </c>
      <c r="B700" s="16" t="s">
        <v>34</v>
      </c>
      <c r="C700" s="15" t="str">
        <f>"20190118808"</f>
        <v>20190118808</v>
      </c>
      <c r="D700" s="17">
        <v>56.5</v>
      </c>
      <c r="E700" s="19"/>
    </row>
    <row r="701" spans="1:4" ht="21.75" customHeight="1">
      <c r="A701" s="15" t="s">
        <v>33</v>
      </c>
      <c r="B701" s="16" t="s">
        <v>34</v>
      </c>
      <c r="C701" s="15" t="str">
        <f>"20190118809"</f>
        <v>20190118809</v>
      </c>
      <c r="D701" s="17">
        <v>63.5</v>
      </c>
    </row>
    <row r="702" spans="1:4" ht="21.75" customHeight="1">
      <c r="A702" s="15" t="s">
        <v>33</v>
      </c>
      <c r="B702" s="16" t="s">
        <v>34</v>
      </c>
      <c r="C702" s="15" t="str">
        <f>"20190118810"</f>
        <v>20190118810</v>
      </c>
      <c r="D702" s="17">
        <v>62.5</v>
      </c>
    </row>
    <row r="703" spans="1:4" ht="21.75" customHeight="1">
      <c r="A703" s="15" t="s">
        <v>33</v>
      </c>
      <c r="B703" s="16" t="s">
        <v>34</v>
      </c>
      <c r="C703" s="15" t="str">
        <f>"20190118811"</f>
        <v>20190118811</v>
      </c>
      <c r="D703" s="17">
        <v>62</v>
      </c>
    </row>
    <row r="704" spans="1:4" ht="21.75" customHeight="1">
      <c r="A704" s="15" t="s">
        <v>33</v>
      </c>
      <c r="B704" s="16" t="s">
        <v>34</v>
      </c>
      <c r="C704" s="15" t="str">
        <f>"20190118812"</f>
        <v>20190118812</v>
      </c>
      <c r="D704" s="17">
        <v>62</v>
      </c>
    </row>
    <row r="705" spans="1:4" ht="21.75" customHeight="1">
      <c r="A705" s="15" t="s">
        <v>33</v>
      </c>
      <c r="B705" s="16" t="s">
        <v>34</v>
      </c>
      <c r="C705" s="15" t="str">
        <f>"20190118813"</f>
        <v>20190118813</v>
      </c>
      <c r="D705" s="17">
        <v>58</v>
      </c>
    </row>
    <row r="706" spans="1:4" ht="21.75" customHeight="1">
      <c r="A706" s="15" t="s">
        <v>33</v>
      </c>
      <c r="B706" s="16" t="s">
        <v>34</v>
      </c>
      <c r="C706" s="15" t="str">
        <f>"20190118814"</f>
        <v>20190118814</v>
      </c>
      <c r="D706" s="17" t="s">
        <v>12</v>
      </c>
    </row>
    <row r="707" spans="1:4" ht="21.75" customHeight="1">
      <c r="A707" s="15" t="s">
        <v>33</v>
      </c>
      <c r="B707" s="16" t="s">
        <v>34</v>
      </c>
      <c r="C707" s="15" t="str">
        <f>"20190118815"</f>
        <v>20190118815</v>
      </c>
      <c r="D707" s="17">
        <v>60</v>
      </c>
    </row>
    <row r="708" spans="1:4" ht="21.75" customHeight="1">
      <c r="A708" s="15" t="s">
        <v>33</v>
      </c>
      <c r="B708" s="16" t="s">
        <v>34</v>
      </c>
      <c r="C708" s="15" t="str">
        <f>"20190118816"</f>
        <v>20190118816</v>
      </c>
      <c r="D708" s="17" t="s">
        <v>12</v>
      </c>
    </row>
    <row r="709" spans="1:4" ht="21.75" customHeight="1">
      <c r="A709" s="15" t="s">
        <v>33</v>
      </c>
      <c r="B709" s="16" t="s">
        <v>34</v>
      </c>
      <c r="C709" s="15" t="str">
        <f>"20190118817"</f>
        <v>20190118817</v>
      </c>
      <c r="D709" s="17" t="s">
        <v>12</v>
      </c>
    </row>
    <row r="710" spans="1:4" ht="21.75" customHeight="1">
      <c r="A710" s="15" t="s">
        <v>33</v>
      </c>
      <c r="B710" s="16" t="s">
        <v>34</v>
      </c>
      <c r="C710" s="15" t="str">
        <f>"20190118818"</f>
        <v>20190118818</v>
      </c>
      <c r="D710" s="17" t="s">
        <v>12</v>
      </c>
    </row>
    <row r="711" spans="1:4" ht="21.75" customHeight="1">
      <c r="A711" s="15" t="s">
        <v>33</v>
      </c>
      <c r="B711" s="16" t="s">
        <v>34</v>
      </c>
      <c r="C711" s="15" t="str">
        <f>"20190118819"</f>
        <v>20190118819</v>
      </c>
      <c r="D711" s="17" t="s">
        <v>12</v>
      </c>
    </row>
    <row r="712" spans="1:4" ht="21.75" customHeight="1">
      <c r="A712" s="15" t="s">
        <v>33</v>
      </c>
      <c r="B712" s="16" t="s">
        <v>34</v>
      </c>
      <c r="C712" s="15" t="str">
        <f>"20190118820"</f>
        <v>20190118820</v>
      </c>
      <c r="D712" s="17">
        <v>51</v>
      </c>
    </row>
    <row r="713" spans="1:4" ht="21.75" customHeight="1">
      <c r="A713" s="15" t="s">
        <v>33</v>
      </c>
      <c r="B713" s="16" t="s">
        <v>34</v>
      </c>
      <c r="C713" s="15" t="str">
        <f>"20190118821"</f>
        <v>20190118821</v>
      </c>
      <c r="D713" s="17">
        <v>63.5</v>
      </c>
    </row>
    <row r="714" spans="1:4" ht="21.75" customHeight="1">
      <c r="A714" s="15" t="s">
        <v>33</v>
      </c>
      <c r="B714" s="16" t="s">
        <v>34</v>
      </c>
      <c r="C714" s="15" t="str">
        <f>"20190118822"</f>
        <v>20190118822</v>
      </c>
      <c r="D714" s="17">
        <v>58</v>
      </c>
    </row>
    <row r="715" spans="1:4" ht="21.75" customHeight="1">
      <c r="A715" s="15" t="s">
        <v>33</v>
      </c>
      <c r="B715" s="16" t="s">
        <v>34</v>
      </c>
      <c r="C715" s="15" t="str">
        <f>"20190118823"</f>
        <v>20190118823</v>
      </c>
      <c r="D715" s="17">
        <v>58</v>
      </c>
    </row>
    <row r="716" spans="1:4" ht="21.75" customHeight="1">
      <c r="A716" s="15" t="s">
        <v>33</v>
      </c>
      <c r="B716" s="16" t="s">
        <v>34</v>
      </c>
      <c r="C716" s="15" t="str">
        <f>"20190118824"</f>
        <v>20190118824</v>
      </c>
      <c r="D716" s="17">
        <v>59.5</v>
      </c>
    </row>
    <row r="717" spans="1:4" ht="21.75" customHeight="1">
      <c r="A717" s="15" t="s">
        <v>33</v>
      </c>
      <c r="B717" s="16" t="s">
        <v>34</v>
      </c>
      <c r="C717" s="15" t="str">
        <f>"20190118825"</f>
        <v>20190118825</v>
      </c>
      <c r="D717" s="17">
        <v>61.5</v>
      </c>
    </row>
    <row r="718" spans="1:4" ht="21.75" customHeight="1">
      <c r="A718" s="15" t="s">
        <v>33</v>
      </c>
      <c r="B718" s="16" t="s">
        <v>34</v>
      </c>
      <c r="C718" s="15" t="str">
        <f>"20190118826"</f>
        <v>20190118826</v>
      </c>
      <c r="D718" s="17">
        <v>50</v>
      </c>
    </row>
    <row r="719" spans="1:4" ht="21.75" customHeight="1">
      <c r="A719" s="15" t="s">
        <v>33</v>
      </c>
      <c r="B719" s="16" t="s">
        <v>34</v>
      </c>
      <c r="C719" s="15" t="str">
        <f>"20190118827"</f>
        <v>20190118827</v>
      </c>
      <c r="D719" s="17">
        <v>56</v>
      </c>
    </row>
    <row r="720" spans="1:4" ht="21.75" customHeight="1">
      <c r="A720" s="15" t="s">
        <v>33</v>
      </c>
      <c r="B720" s="16" t="s">
        <v>34</v>
      </c>
      <c r="C720" s="15" t="str">
        <f>"20190118828"</f>
        <v>20190118828</v>
      </c>
      <c r="D720" s="17">
        <v>46.5</v>
      </c>
    </row>
    <row r="721" spans="1:4" ht="21.75" customHeight="1">
      <c r="A721" s="15" t="s">
        <v>33</v>
      </c>
      <c r="B721" s="16" t="s">
        <v>34</v>
      </c>
      <c r="C721" s="15" t="str">
        <f>"20190118829"</f>
        <v>20190118829</v>
      </c>
      <c r="D721" s="17">
        <v>69</v>
      </c>
    </row>
    <row r="722" spans="1:4" ht="21.75" customHeight="1">
      <c r="A722" s="15" t="s">
        <v>33</v>
      </c>
      <c r="B722" s="16" t="s">
        <v>34</v>
      </c>
      <c r="C722" s="15" t="str">
        <f>"20190118830"</f>
        <v>20190118830</v>
      </c>
      <c r="D722" s="17" t="s">
        <v>12</v>
      </c>
    </row>
    <row r="723" spans="1:4" ht="21.75" customHeight="1">
      <c r="A723" s="15" t="s">
        <v>33</v>
      </c>
      <c r="B723" s="16" t="s">
        <v>34</v>
      </c>
      <c r="C723" s="15" t="str">
        <f>"20190118901"</f>
        <v>20190118901</v>
      </c>
      <c r="D723" s="17">
        <v>53</v>
      </c>
    </row>
    <row r="724" spans="1:4" ht="21.75" customHeight="1">
      <c r="A724" s="15" t="s">
        <v>33</v>
      </c>
      <c r="B724" s="16" t="s">
        <v>34</v>
      </c>
      <c r="C724" s="15" t="str">
        <f>"20190118902"</f>
        <v>20190118902</v>
      </c>
      <c r="D724" s="17">
        <v>60.5</v>
      </c>
    </row>
    <row r="725" spans="1:4" ht="21.75" customHeight="1">
      <c r="A725" s="15" t="s">
        <v>33</v>
      </c>
      <c r="B725" s="16" t="s">
        <v>34</v>
      </c>
      <c r="C725" s="15" t="str">
        <f>"20190118903"</f>
        <v>20190118903</v>
      </c>
      <c r="D725" s="17" t="s">
        <v>12</v>
      </c>
    </row>
    <row r="726" spans="1:5" ht="21.75" customHeight="1">
      <c r="A726" s="15" t="s">
        <v>33</v>
      </c>
      <c r="B726" s="16" t="s">
        <v>34</v>
      </c>
      <c r="C726" s="15" t="str">
        <f>"20190118904"</f>
        <v>20190118904</v>
      </c>
      <c r="D726" s="17">
        <v>71</v>
      </c>
      <c r="E726" s="18" t="s">
        <v>9</v>
      </c>
    </row>
    <row r="727" spans="1:4" ht="21.75" customHeight="1">
      <c r="A727" s="15" t="s">
        <v>33</v>
      </c>
      <c r="B727" s="16" t="s">
        <v>34</v>
      </c>
      <c r="C727" s="15" t="str">
        <f>"20190118905"</f>
        <v>20190118905</v>
      </c>
      <c r="D727" s="17">
        <v>57.5</v>
      </c>
    </row>
    <row r="728" spans="1:4" ht="21.75" customHeight="1">
      <c r="A728" s="15" t="s">
        <v>33</v>
      </c>
      <c r="B728" s="16" t="s">
        <v>34</v>
      </c>
      <c r="C728" s="15" t="str">
        <f>"20190118906"</f>
        <v>20190118906</v>
      </c>
      <c r="D728" s="17">
        <v>54.5</v>
      </c>
    </row>
    <row r="729" spans="1:4" ht="21.75" customHeight="1">
      <c r="A729" s="15" t="s">
        <v>33</v>
      </c>
      <c r="B729" s="16" t="s">
        <v>34</v>
      </c>
      <c r="C729" s="15" t="str">
        <f>"20190118907"</f>
        <v>20190118907</v>
      </c>
      <c r="D729" s="17">
        <v>56</v>
      </c>
    </row>
    <row r="730" spans="1:4" ht="21.75" customHeight="1">
      <c r="A730" s="15" t="s">
        <v>33</v>
      </c>
      <c r="B730" s="16" t="s">
        <v>34</v>
      </c>
      <c r="C730" s="15" t="str">
        <f>"20190118908"</f>
        <v>20190118908</v>
      </c>
      <c r="D730" s="17">
        <v>57.5</v>
      </c>
    </row>
    <row r="731" spans="1:4" ht="21.75" customHeight="1">
      <c r="A731" s="15" t="s">
        <v>33</v>
      </c>
      <c r="B731" s="16" t="s">
        <v>34</v>
      </c>
      <c r="C731" s="15" t="str">
        <f>"20190118909"</f>
        <v>20190118909</v>
      </c>
      <c r="D731" s="17">
        <v>64.5</v>
      </c>
    </row>
    <row r="732" spans="1:4" ht="21.75" customHeight="1">
      <c r="A732" s="15" t="s">
        <v>33</v>
      </c>
      <c r="B732" s="16" t="s">
        <v>34</v>
      </c>
      <c r="C732" s="15" t="str">
        <f>"20190118910"</f>
        <v>20190118910</v>
      </c>
      <c r="D732" s="17">
        <v>67</v>
      </c>
    </row>
    <row r="733" spans="1:4" ht="21.75" customHeight="1">
      <c r="A733" s="15" t="s">
        <v>33</v>
      </c>
      <c r="B733" s="16" t="s">
        <v>34</v>
      </c>
      <c r="C733" s="15" t="str">
        <f>"20190118911"</f>
        <v>20190118911</v>
      </c>
      <c r="D733" s="17" t="s">
        <v>12</v>
      </c>
    </row>
    <row r="734" spans="1:4" ht="21.75" customHeight="1">
      <c r="A734" s="15" t="s">
        <v>33</v>
      </c>
      <c r="B734" s="16" t="s">
        <v>34</v>
      </c>
      <c r="C734" s="15" t="str">
        <f>"20190118912"</f>
        <v>20190118912</v>
      </c>
      <c r="D734" s="17">
        <v>64.5</v>
      </c>
    </row>
    <row r="735" spans="1:4" ht="21.75" customHeight="1">
      <c r="A735" s="15" t="s">
        <v>33</v>
      </c>
      <c r="B735" s="16" t="s">
        <v>34</v>
      </c>
      <c r="C735" s="15" t="str">
        <f>"20190118913"</f>
        <v>20190118913</v>
      </c>
      <c r="D735" s="17" t="s">
        <v>12</v>
      </c>
    </row>
    <row r="736" spans="1:4" ht="21.75" customHeight="1">
      <c r="A736" s="15" t="s">
        <v>33</v>
      </c>
      <c r="B736" s="16" t="s">
        <v>34</v>
      </c>
      <c r="C736" s="15" t="str">
        <f>"20190118914"</f>
        <v>20190118914</v>
      </c>
      <c r="D736" s="17" t="s">
        <v>12</v>
      </c>
    </row>
    <row r="737" spans="1:4" ht="21.75" customHeight="1">
      <c r="A737" s="15" t="s">
        <v>33</v>
      </c>
      <c r="B737" s="16" t="s">
        <v>34</v>
      </c>
      <c r="C737" s="15" t="str">
        <f>"20190118915"</f>
        <v>20190118915</v>
      </c>
      <c r="D737" s="17" t="s">
        <v>12</v>
      </c>
    </row>
    <row r="738" spans="1:5" ht="21.75" customHeight="1">
      <c r="A738" s="15" t="s">
        <v>33</v>
      </c>
      <c r="B738" s="16" t="s">
        <v>34</v>
      </c>
      <c r="C738" s="15" t="str">
        <f>"20190118916"</f>
        <v>20190118916</v>
      </c>
      <c r="D738" s="17">
        <v>53</v>
      </c>
      <c r="E738" s="19"/>
    </row>
    <row r="739" spans="1:5" ht="21.75" customHeight="1">
      <c r="A739" s="15" t="s">
        <v>33</v>
      </c>
      <c r="B739" s="16" t="s">
        <v>34</v>
      </c>
      <c r="C739" s="15" t="str">
        <f>"20190118917"</f>
        <v>20190118917</v>
      </c>
      <c r="D739" s="17" t="s">
        <v>12</v>
      </c>
      <c r="E739" s="19"/>
    </row>
    <row r="740" spans="1:5" ht="21.75" customHeight="1">
      <c r="A740" s="15" t="s">
        <v>33</v>
      </c>
      <c r="B740" s="16" t="s">
        <v>34</v>
      </c>
      <c r="C740" s="15" t="str">
        <f>"20190118918"</f>
        <v>20190118918</v>
      </c>
      <c r="D740" s="17" t="s">
        <v>12</v>
      </c>
      <c r="E740" s="19"/>
    </row>
    <row r="741" spans="1:4" ht="21.75" customHeight="1">
      <c r="A741" s="15" t="s">
        <v>33</v>
      </c>
      <c r="B741" s="16" t="s">
        <v>34</v>
      </c>
      <c r="C741" s="15" t="str">
        <f>"20190118919"</f>
        <v>20190118919</v>
      </c>
      <c r="D741" s="17">
        <v>62</v>
      </c>
    </row>
    <row r="742" spans="1:5" ht="21.75" customHeight="1">
      <c r="A742" s="15" t="s">
        <v>35</v>
      </c>
      <c r="B742" s="16" t="s">
        <v>36</v>
      </c>
      <c r="C742" s="15" t="str">
        <f>"20190112503"</f>
        <v>20190112503</v>
      </c>
      <c r="D742" s="17">
        <v>63.5</v>
      </c>
      <c r="E742" s="19"/>
    </row>
    <row r="743" spans="1:5" ht="21.75" customHeight="1">
      <c r="A743" s="15" t="s">
        <v>35</v>
      </c>
      <c r="B743" s="16" t="s">
        <v>36</v>
      </c>
      <c r="C743" s="15" t="str">
        <f>"20190112504"</f>
        <v>20190112504</v>
      </c>
      <c r="D743" s="17">
        <v>52</v>
      </c>
      <c r="E743" s="19"/>
    </row>
    <row r="744" spans="1:5" ht="21.75" customHeight="1">
      <c r="A744" s="15" t="s">
        <v>35</v>
      </c>
      <c r="B744" s="16" t="s">
        <v>36</v>
      </c>
      <c r="C744" s="15" t="str">
        <f>"20190112505"</f>
        <v>20190112505</v>
      </c>
      <c r="D744" s="17">
        <v>60</v>
      </c>
      <c r="E744" s="19"/>
    </row>
    <row r="745" spans="1:4" ht="21.75" customHeight="1">
      <c r="A745" s="15" t="s">
        <v>35</v>
      </c>
      <c r="B745" s="16" t="s">
        <v>36</v>
      </c>
      <c r="C745" s="15" t="str">
        <f>"20190112506"</f>
        <v>20190112506</v>
      </c>
      <c r="D745" s="17">
        <v>53.5</v>
      </c>
    </row>
    <row r="746" spans="1:5" ht="21.75" customHeight="1">
      <c r="A746" s="15" t="s">
        <v>35</v>
      </c>
      <c r="B746" s="16" t="s">
        <v>36</v>
      </c>
      <c r="C746" s="15" t="str">
        <f>"20190112507"</f>
        <v>20190112507</v>
      </c>
      <c r="D746" s="17">
        <v>70</v>
      </c>
      <c r="E746" s="18" t="s">
        <v>9</v>
      </c>
    </row>
    <row r="747" spans="1:4" ht="21.75" customHeight="1">
      <c r="A747" s="15" t="s">
        <v>35</v>
      </c>
      <c r="B747" s="16" t="s">
        <v>36</v>
      </c>
      <c r="C747" s="15" t="str">
        <f>"20190112508"</f>
        <v>20190112508</v>
      </c>
      <c r="D747" s="17">
        <v>69</v>
      </c>
    </row>
    <row r="748" spans="1:4" ht="21.75" customHeight="1">
      <c r="A748" s="15" t="s">
        <v>35</v>
      </c>
      <c r="B748" s="16" t="s">
        <v>36</v>
      </c>
      <c r="C748" s="15" t="str">
        <f>"20190112509"</f>
        <v>20190112509</v>
      </c>
      <c r="D748" s="17">
        <v>61</v>
      </c>
    </row>
    <row r="749" spans="1:4" ht="21.75" customHeight="1">
      <c r="A749" s="15" t="s">
        <v>35</v>
      </c>
      <c r="B749" s="16" t="s">
        <v>36</v>
      </c>
      <c r="C749" s="15" t="str">
        <f>"20190112510"</f>
        <v>20190112510</v>
      </c>
      <c r="D749" s="17">
        <v>53</v>
      </c>
    </row>
    <row r="750" spans="1:4" ht="21.75" customHeight="1">
      <c r="A750" s="15" t="s">
        <v>35</v>
      </c>
      <c r="B750" s="16" t="s">
        <v>36</v>
      </c>
      <c r="C750" s="15" t="str">
        <f>"20190112511"</f>
        <v>20190112511</v>
      </c>
      <c r="D750" s="17">
        <v>63.5</v>
      </c>
    </row>
    <row r="751" spans="1:4" ht="21.75" customHeight="1">
      <c r="A751" s="15" t="s">
        <v>35</v>
      </c>
      <c r="B751" s="16" t="s">
        <v>36</v>
      </c>
      <c r="C751" s="15" t="str">
        <f>"20190112512"</f>
        <v>20190112512</v>
      </c>
      <c r="D751" s="17">
        <v>67.5</v>
      </c>
    </row>
    <row r="752" spans="1:4" ht="21.75" customHeight="1">
      <c r="A752" s="15" t="s">
        <v>35</v>
      </c>
      <c r="B752" s="16" t="s">
        <v>36</v>
      </c>
      <c r="C752" s="15" t="str">
        <f>"20190112513"</f>
        <v>20190112513</v>
      </c>
      <c r="D752" s="17">
        <v>62.5</v>
      </c>
    </row>
    <row r="753" spans="1:4" ht="21.75" customHeight="1">
      <c r="A753" s="15" t="s">
        <v>35</v>
      </c>
      <c r="B753" s="16" t="s">
        <v>36</v>
      </c>
      <c r="C753" s="15" t="str">
        <f>"20190112514"</f>
        <v>20190112514</v>
      </c>
      <c r="D753" s="17">
        <v>54</v>
      </c>
    </row>
    <row r="754" spans="1:4" ht="21.75" customHeight="1">
      <c r="A754" s="15" t="s">
        <v>35</v>
      </c>
      <c r="B754" s="16" t="s">
        <v>36</v>
      </c>
      <c r="C754" s="15" t="str">
        <f>"20190112515"</f>
        <v>20190112515</v>
      </c>
      <c r="D754" s="17">
        <v>64</v>
      </c>
    </row>
    <row r="755" spans="1:4" ht="21.75" customHeight="1">
      <c r="A755" s="15" t="s">
        <v>35</v>
      </c>
      <c r="B755" s="16" t="s">
        <v>36</v>
      </c>
      <c r="C755" s="15" t="str">
        <f>"20190112516"</f>
        <v>20190112516</v>
      </c>
      <c r="D755" s="17">
        <v>65.5</v>
      </c>
    </row>
    <row r="756" spans="1:5" ht="21.75" customHeight="1">
      <c r="A756" s="15" t="s">
        <v>35</v>
      </c>
      <c r="B756" s="16" t="s">
        <v>36</v>
      </c>
      <c r="C756" s="15" t="str">
        <f>"20190112517"</f>
        <v>20190112517</v>
      </c>
      <c r="D756" s="17">
        <v>73</v>
      </c>
      <c r="E756" s="18" t="s">
        <v>9</v>
      </c>
    </row>
    <row r="757" spans="1:4" ht="21.75" customHeight="1">
      <c r="A757" s="15" t="s">
        <v>35</v>
      </c>
      <c r="B757" s="16" t="s">
        <v>36</v>
      </c>
      <c r="C757" s="15" t="str">
        <f>"20190112518"</f>
        <v>20190112518</v>
      </c>
      <c r="D757" s="17">
        <v>52.5</v>
      </c>
    </row>
    <row r="758" spans="1:5" ht="21.75" customHeight="1">
      <c r="A758" s="15" t="s">
        <v>35</v>
      </c>
      <c r="B758" s="16" t="s">
        <v>36</v>
      </c>
      <c r="C758" s="15" t="str">
        <f>"20190112519"</f>
        <v>20190112519</v>
      </c>
      <c r="D758" s="17" t="s">
        <v>12</v>
      </c>
      <c r="E758" s="19"/>
    </row>
    <row r="759" spans="1:5" ht="21.75" customHeight="1">
      <c r="A759" s="15" t="s">
        <v>35</v>
      </c>
      <c r="B759" s="16" t="s">
        <v>36</v>
      </c>
      <c r="C759" s="15" t="str">
        <f>"20190112520"</f>
        <v>20190112520</v>
      </c>
      <c r="D759" s="17">
        <v>53.5</v>
      </c>
      <c r="E759" s="19"/>
    </row>
    <row r="760" spans="1:5" ht="21.75" customHeight="1">
      <c r="A760" s="15" t="s">
        <v>35</v>
      </c>
      <c r="B760" s="16" t="s">
        <v>36</v>
      </c>
      <c r="C760" s="15" t="str">
        <f>"20190112521"</f>
        <v>20190112521</v>
      </c>
      <c r="D760" s="17">
        <v>59.5</v>
      </c>
      <c r="E760" s="19"/>
    </row>
    <row r="761" spans="1:4" ht="21.75" customHeight="1">
      <c r="A761" s="15" t="s">
        <v>35</v>
      </c>
      <c r="B761" s="16" t="s">
        <v>36</v>
      </c>
      <c r="C761" s="15" t="str">
        <f>"20190112522"</f>
        <v>20190112522</v>
      </c>
      <c r="D761" s="17">
        <v>57.5</v>
      </c>
    </row>
    <row r="762" spans="1:4" ht="21.75" customHeight="1">
      <c r="A762" s="15" t="s">
        <v>35</v>
      </c>
      <c r="B762" s="16" t="s">
        <v>36</v>
      </c>
      <c r="C762" s="15" t="str">
        <f>"20190112523"</f>
        <v>20190112523</v>
      </c>
      <c r="D762" s="17" t="s">
        <v>12</v>
      </c>
    </row>
    <row r="763" spans="1:4" ht="21.75" customHeight="1">
      <c r="A763" s="15" t="s">
        <v>35</v>
      </c>
      <c r="B763" s="16" t="s">
        <v>36</v>
      </c>
      <c r="C763" s="15" t="str">
        <f>"20190112524"</f>
        <v>20190112524</v>
      </c>
      <c r="D763" s="17">
        <v>56.5</v>
      </c>
    </row>
    <row r="764" spans="1:5" ht="21.75" customHeight="1">
      <c r="A764" s="15" t="s">
        <v>35</v>
      </c>
      <c r="B764" s="16" t="s">
        <v>36</v>
      </c>
      <c r="C764" s="15" t="str">
        <f>"20190112525"</f>
        <v>20190112525</v>
      </c>
      <c r="D764" s="17">
        <v>72</v>
      </c>
      <c r="E764" s="18" t="s">
        <v>9</v>
      </c>
    </row>
    <row r="765" spans="1:4" ht="21.75" customHeight="1">
      <c r="A765" s="15" t="s">
        <v>35</v>
      </c>
      <c r="B765" s="16" t="s">
        <v>36</v>
      </c>
      <c r="C765" s="15" t="str">
        <f>"20190112526"</f>
        <v>20190112526</v>
      </c>
      <c r="D765" s="17">
        <v>67</v>
      </c>
    </row>
    <row r="766" spans="1:4" ht="21.75" customHeight="1">
      <c r="A766" s="15" t="s">
        <v>35</v>
      </c>
      <c r="B766" s="16" t="s">
        <v>36</v>
      </c>
      <c r="C766" s="15" t="str">
        <f>"20190112527"</f>
        <v>20190112527</v>
      </c>
      <c r="D766" s="17">
        <v>50.5</v>
      </c>
    </row>
    <row r="767" spans="1:4" ht="21.75" customHeight="1">
      <c r="A767" s="15" t="s">
        <v>35</v>
      </c>
      <c r="B767" s="16" t="s">
        <v>36</v>
      </c>
      <c r="C767" s="15" t="str">
        <f>"20190112528"</f>
        <v>20190112528</v>
      </c>
      <c r="D767" s="17">
        <v>64</v>
      </c>
    </row>
    <row r="768" spans="1:4" ht="21.75" customHeight="1">
      <c r="A768" s="15" t="s">
        <v>35</v>
      </c>
      <c r="B768" s="16" t="s">
        <v>36</v>
      </c>
      <c r="C768" s="15" t="str">
        <f>"20190112529"</f>
        <v>20190112529</v>
      </c>
      <c r="D768" s="17">
        <v>60.5</v>
      </c>
    </row>
    <row r="769" spans="1:4" ht="21.75" customHeight="1">
      <c r="A769" s="15" t="s">
        <v>35</v>
      </c>
      <c r="B769" s="16" t="s">
        <v>36</v>
      </c>
      <c r="C769" s="15" t="str">
        <f>"20190112530"</f>
        <v>20190112530</v>
      </c>
      <c r="D769" s="17">
        <v>61.5</v>
      </c>
    </row>
    <row r="770" spans="1:4" ht="21.75" customHeight="1">
      <c r="A770" s="15" t="s">
        <v>35</v>
      </c>
      <c r="B770" s="16" t="s">
        <v>36</v>
      </c>
      <c r="C770" s="15" t="str">
        <f>"20190112601"</f>
        <v>20190112601</v>
      </c>
      <c r="D770" s="17" t="s">
        <v>12</v>
      </c>
    </row>
    <row r="771" spans="1:4" ht="21.75" customHeight="1">
      <c r="A771" s="15" t="s">
        <v>35</v>
      </c>
      <c r="B771" s="16" t="s">
        <v>36</v>
      </c>
      <c r="C771" s="15" t="str">
        <f>"20190112602"</f>
        <v>20190112602</v>
      </c>
      <c r="D771" s="17">
        <v>65</v>
      </c>
    </row>
    <row r="772" spans="1:4" ht="21.75" customHeight="1">
      <c r="A772" s="15" t="s">
        <v>35</v>
      </c>
      <c r="B772" s="16" t="s">
        <v>36</v>
      </c>
      <c r="C772" s="15" t="str">
        <f>"20190112603"</f>
        <v>20190112603</v>
      </c>
      <c r="D772" s="17" t="s">
        <v>12</v>
      </c>
    </row>
    <row r="773" spans="1:4" ht="21.75" customHeight="1">
      <c r="A773" s="15" t="s">
        <v>35</v>
      </c>
      <c r="B773" s="16" t="s">
        <v>36</v>
      </c>
      <c r="C773" s="15" t="str">
        <f>"20190112604"</f>
        <v>20190112604</v>
      </c>
      <c r="D773" s="17" t="s">
        <v>12</v>
      </c>
    </row>
    <row r="774" spans="1:4" ht="21.75" customHeight="1">
      <c r="A774" s="15" t="s">
        <v>35</v>
      </c>
      <c r="B774" s="16" t="s">
        <v>36</v>
      </c>
      <c r="C774" s="15" t="str">
        <f>"20190112605"</f>
        <v>20190112605</v>
      </c>
      <c r="D774" s="17">
        <v>52.5</v>
      </c>
    </row>
    <row r="775" spans="1:4" ht="21.75" customHeight="1">
      <c r="A775" s="15" t="s">
        <v>35</v>
      </c>
      <c r="B775" s="16" t="s">
        <v>36</v>
      </c>
      <c r="C775" s="15" t="str">
        <f>"20190112606"</f>
        <v>20190112606</v>
      </c>
      <c r="D775" s="17">
        <v>26</v>
      </c>
    </row>
    <row r="776" spans="1:4" ht="21.75" customHeight="1">
      <c r="A776" s="15" t="s">
        <v>35</v>
      </c>
      <c r="B776" s="16" t="s">
        <v>36</v>
      </c>
      <c r="C776" s="15" t="str">
        <f>"20190112607"</f>
        <v>20190112607</v>
      </c>
      <c r="D776" s="17">
        <v>54</v>
      </c>
    </row>
    <row r="777" spans="1:4" ht="21.75" customHeight="1">
      <c r="A777" s="15" t="s">
        <v>35</v>
      </c>
      <c r="B777" s="16" t="s">
        <v>36</v>
      </c>
      <c r="C777" s="15" t="str">
        <f>"20190112608"</f>
        <v>20190112608</v>
      </c>
      <c r="D777" s="17" t="s">
        <v>12</v>
      </c>
    </row>
    <row r="778" spans="1:4" ht="21.75" customHeight="1">
      <c r="A778" s="15" t="s">
        <v>35</v>
      </c>
      <c r="B778" s="16" t="s">
        <v>36</v>
      </c>
      <c r="C778" s="15" t="str">
        <f>"20190112609"</f>
        <v>20190112609</v>
      </c>
      <c r="D778" s="17" t="s">
        <v>12</v>
      </c>
    </row>
    <row r="779" spans="1:4" ht="21.75" customHeight="1">
      <c r="A779" s="15" t="s">
        <v>35</v>
      </c>
      <c r="B779" s="16" t="s">
        <v>36</v>
      </c>
      <c r="C779" s="15" t="str">
        <f>"20190112610"</f>
        <v>20190112610</v>
      </c>
      <c r="D779" s="17">
        <v>54</v>
      </c>
    </row>
    <row r="780" spans="1:4" ht="21.75" customHeight="1">
      <c r="A780" s="15" t="s">
        <v>35</v>
      </c>
      <c r="B780" s="16" t="s">
        <v>36</v>
      </c>
      <c r="C780" s="15" t="str">
        <f>"20190112611"</f>
        <v>20190112611</v>
      </c>
      <c r="D780" s="17" t="s">
        <v>12</v>
      </c>
    </row>
    <row r="781" spans="1:4" ht="21.75" customHeight="1">
      <c r="A781" s="15" t="s">
        <v>35</v>
      </c>
      <c r="B781" s="16" t="s">
        <v>36</v>
      </c>
      <c r="C781" s="15" t="str">
        <f>"20190112612"</f>
        <v>20190112612</v>
      </c>
      <c r="D781" s="17">
        <v>58.5</v>
      </c>
    </row>
    <row r="782" spans="1:4" ht="21.75" customHeight="1">
      <c r="A782" s="15" t="s">
        <v>35</v>
      </c>
      <c r="B782" s="16" t="s">
        <v>36</v>
      </c>
      <c r="C782" s="15" t="str">
        <f>"20190112613"</f>
        <v>20190112613</v>
      </c>
      <c r="D782" s="17">
        <v>52.5</v>
      </c>
    </row>
    <row r="783" spans="1:4" ht="21.75" customHeight="1">
      <c r="A783" s="15" t="s">
        <v>35</v>
      </c>
      <c r="B783" s="16" t="s">
        <v>36</v>
      </c>
      <c r="C783" s="15" t="str">
        <f>"20190112614"</f>
        <v>20190112614</v>
      </c>
      <c r="D783" s="17">
        <v>57</v>
      </c>
    </row>
    <row r="784" spans="1:4" ht="21.75" customHeight="1">
      <c r="A784" s="15" t="s">
        <v>35</v>
      </c>
      <c r="B784" s="16" t="s">
        <v>36</v>
      </c>
      <c r="C784" s="15" t="str">
        <f>"20190112615"</f>
        <v>20190112615</v>
      </c>
      <c r="D784" s="17" t="s">
        <v>12</v>
      </c>
    </row>
    <row r="785" spans="1:4" ht="21.75" customHeight="1">
      <c r="A785" s="15" t="s">
        <v>35</v>
      </c>
      <c r="B785" s="16" t="s">
        <v>36</v>
      </c>
      <c r="C785" s="15" t="str">
        <f>"20190112616"</f>
        <v>20190112616</v>
      </c>
      <c r="D785" s="17">
        <v>55.5</v>
      </c>
    </row>
    <row r="786" spans="1:4" ht="21.75" customHeight="1">
      <c r="A786" s="15" t="s">
        <v>35</v>
      </c>
      <c r="B786" s="16" t="s">
        <v>36</v>
      </c>
      <c r="C786" s="15" t="str">
        <f>"20190112617"</f>
        <v>20190112617</v>
      </c>
      <c r="D786" s="17">
        <v>61</v>
      </c>
    </row>
    <row r="787" spans="1:4" ht="21.75" customHeight="1">
      <c r="A787" s="15" t="s">
        <v>35</v>
      </c>
      <c r="B787" s="16" t="s">
        <v>37</v>
      </c>
      <c r="C787" s="15" t="str">
        <f>"20190112618"</f>
        <v>20190112618</v>
      </c>
      <c r="D787" s="17">
        <v>63.5</v>
      </c>
    </row>
    <row r="788" spans="1:4" ht="21.75" customHeight="1">
      <c r="A788" s="15" t="s">
        <v>35</v>
      </c>
      <c r="B788" s="16" t="s">
        <v>37</v>
      </c>
      <c r="C788" s="15" t="str">
        <f>"20190112619"</f>
        <v>20190112619</v>
      </c>
      <c r="D788" s="17">
        <v>60</v>
      </c>
    </row>
    <row r="789" spans="1:4" ht="21.75" customHeight="1">
      <c r="A789" s="15" t="s">
        <v>35</v>
      </c>
      <c r="B789" s="16" t="s">
        <v>37</v>
      </c>
      <c r="C789" s="15" t="str">
        <f>"20190112620"</f>
        <v>20190112620</v>
      </c>
      <c r="D789" s="17">
        <v>64</v>
      </c>
    </row>
    <row r="790" spans="1:4" ht="21.75" customHeight="1">
      <c r="A790" s="15" t="s">
        <v>35</v>
      </c>
      <c r="B790" s="16" t="s">
        <v>37</v>
      </c>
      <c r="C790" s="15" t="str">
        <f>"20190112621"</f>
        <v>20190112621</v>
      </c>
      <c r="D790" s="17">
        <v>68.5</v>
      </c>
    </row>
    <row r="791" spans="1:4" ht="21.75" customHeight="1">
      <c r="A791" s="15" t="s">
        <v>35</v>
      </c>
      <c r="B791" s="16" t="s">
        <v>37</v>
      </c>
      <c r="C791" s="15" t="str">
        <f>"20190112622"</f>
        <v>20190112622</v>
      </c>
      <c r="D791" s="17">
        <v>52.5</v>
      </c>
    </row>
    <row r="792" spans="1:4" ht="21.75" customHeight="1">
      <c r="A792" s="15" t="s">
        <v>35</v>
      </c>
      <c r="B792" s="16" t="s">
        <v>37</v>
      </c>
      <c r="C792" s="15" t="str">
        <f>"20190112623"</f>
        <v>20190112623</v>
      </c>
      <c r="D792" s="17">
        <v>65.5</v>
      </c>
    </row>
    <row r="793" spans="1:4" ht="21.75" customHeight="1">
      <c r="A793" s="15" t="s">
        <v>35</v>
      </c>
      <c r="B793" s="16" t="s">
        <v>37</v>
      </c>
      <c r="C793" s="15" t="str">
        <f>"20190112624"</f>
        <v>20190112624</v>
      </c>
      <c r="D793" s="17" t="s">
        <v>12</v>
      </c>
    </row>
    <row r="794" spans="1:4" ht="21.75" customHeight="1">
      <c r="A794" s="15" t="s">
        <v>35</v>
      </c>
      <c r="B794" s="16" t="s">
        <v>37</v>
      </c>
      <c r="C794" s="15" t="str">
        <f>"20190112625"</f>
        <v>20190112625</v>
      </c>
      <c r="D794" s="17">
        <v>56.5</v>
      </c>
    </row>
    <row r="795" spans="1:4" ht="21.75" customHeight="1">
      <c r="A795" s="15" t="s">
        <v>35</v>
      </c>
      <c r="B795" s="16" t="s">
        <v>37</v>
      </c>
      <c r="C795" s="15" t="str">
        <f>"20190112626"</f>
        <v>20190112626</v>
      </c>
      <c r="D795" s="17">
        <v>62</v>
      </c>
    </row>
    <row r="796" spans="1:5" ht="21.75" customHeight="1">
      <c r="A796" s="15" t="s">
        <v>35</v>
      </c>
      <c r="B796" s="16" t="s">
        <v>37</v>
      </c>
      <c r="C796" s="15" t="str">
        <f>"20190112627"</f>
        <v>20190112627</v>
      </c>
      <c r="D796" s="17">
        <v>63</v>
      </c>
      <c r="E796" s="19"/>
    </row>
    <row r="797" spans="1:5" ht="21.75" customHeight="1">
      <c r="A797" s="15" t="s">
        <v>35</v>
      </c>
      <c r="B797" s="16" t="s">
        <v>37</v>
      </c>
      <c r="C797" s="15" t="str">
        <f>"20190112628"</f>
        <v>20190112628</v>
      </c>
      <c r="D797" s="17">
        <v>60</v>
      </c>
      <c r="E797" s="19"/>
    </row>
    <row r="798" spans="1:5" ht="21.75" customHeight="1">
      <c r="A798" s="15" t="s">
        <v>35</v>
      </c>
      <c r="B798" s="16" t="s">
        <v>37</v>
      </c>
      <c r="C798" s="15" t="str">
        <f>"20190112629"</f>
        <v>20190112629</v>
      </c>
      <c r="D798" s="17">
        <v>47</v>
      </c>
      <c r="E798" s="19"/>
    </row>
    <row r="799" spans="1:4" ht="21.75" customHeight="1">
      <c r="A799" s="15" t="s">
        <v>35</v>
      </c>
      <c r="B799" s="16" t="s">
        <v>37</v>
      </c>
      <c r="C799" s="15" t="str">
        <f>"20190112630"</f>
        <v>20190112630</v>
      </c>
      <c r="D799" s="17">
        <v>57.5</v>
      </c>
    </row>
    <row r="800" spans="1:4" ht="21.75" customHeight="1">
      <c r="A800" s="15" t="s">
        <v>35</v>
      </c>
      <c r="B800" s="16" t="s">
        <v>37</v>
      </c>
      <c r="C800" s="15" t="str">
        <f>"20190112701"</f>
        <v>20190112701</v>
      </c>
      <c r="D800" s="17">
        <v>65</v>
      </c>
    </row>
    <row r="801" spans="1:4" ht="21.75" customHeight="1">
      <c r="A801" s="15" t="s">
        <v>35</v>
      </c>
      <c r="B801" s="16" t="s">
        <v>37</v>
      </c>
      <c r="C801" s="15" t="str">
        <f>"20190112702"</f>
        <v>20190112702</v>
      </c>
      <c r="D801" s="17" t="s">
        <v>12</v>
      </c>
    </row>
    <row r="802" spans="1:4" ht="21.75" customHeight="1">
      <c r="A802" s="15" t="s">
        <v>35</v>
      </c>
      <c r="B802" s="16" t="s">
        <v>37</v>
      </c>
      <c r="C802" s="15" t="str">
        <f>"20190112703"</f>
        <v>20190112703</v>
      </c>
      <c r="D802" s="17" t="s">
        <v>12</v>
      </c>
    </row>
    <row r="803" spans="1:4" ht="21.75" customHeight="1">
      <c r="A803" s="15" t="s">
        <v>35</v>
      </c>
      <c r="B803" s="16" t="s">
        <v>37</v>
      </c>
      <c r="C803" s="15" t="str">
        <f>"20190112704"</f>
        <v>20190112704</v>
      </c>
      <c r="D803" s="17">
        <v>58.5</v>
      </c>
    </row>
    <row r="804" spans="1:4" ht="21.75" customHeight="1">
      <c r="A804" s="15" t="s">
        <v>35</v>
      </c>
      <c r="B804" s="16" t="s">
        <v>37</v>
      </c>
      <c r="C804" s="15" t="str">
        <f>"20190112705"</f>
        <v>20190112705</v>
      </c>
      <c r="D804" s="17">
        <v>59</v>
      </c>
    </row>
    <row r="805" spans="1:4" ht="21.75" customHeight="1">
      <c r="A805" s="15" t="s">
        <v>35</v>
      </c>
      <c r="B805" s="16" t="s">
        <v>37</v>
      </c>
      <c r="C805" s="15" t="str">
        <f>"20190112706"</f>
        <v>20190112706</v>
      </c>
      <c r="D805" s="17">
        <v>62</v>
      </c>
    </row>
    <row r="806" spans="1:5" ht="21.75" customHeight="1">
      <c r="A806" s="15" t="s">
        <v>35</v>
      </c>
      <c r="B806" s="16" t="s">
        <v>37</v>
      </c>
      <c r="C806" s="15" t="str">
        <f>"20190112707"</f>
        <v>20190112707</v>
      </c>
      <c r="D806" s="17">
        <v>73</v>
      </c>
      <c r="E806" s="18" t="s">
        <v>9</v>
      </c>
    </row>
    <row r="807" spans="1:4" ht="21.75" customHeight="1">
      <c r="A807" s="15" t="s">
        <v>35</v>
      </c>
      <c r="B807" s="16" t="s">
        <v>37</v>
      </c>
      <c r="C807" s="15" t="str">
        <f>"20190112708"</f>
        <v>20190112708</v>
      </c>
      <c r="D807" s="17" t="s">
        <v>12</v>
      </c>
    </row>
    <row r="808" spans="1:4" ht="21.75" customHeight="1">
      <c r="A808" s="15" t="s">
        <v>35</v>
      </c>
      <c r="B808" s="16" t="s">
        <v>37</v>
      </c>
      <c r="C808" s="15" t="str">
        <f>"20190112709"</f>
        <v>20190112709</v>
      </c>
      <c r="D808" s="17">
        <v>68.5</v>
      </c>
    </row>
    <row r="809" spans="1:5" ht="21.75" customHeight="1">
      <c r="A809" s="15" t="s">
        <v>35</v>
      </c>
      <c r="B809" s="16" t="s">
        <v>37</v>
      </c>
      <c r="C809" s="15" t="str">
        <f>"20190112710"</f>
        <v>20190112710</v>
      </c>
      <c r="D809" s="17">
        <v>77.5</v>
      </c>
      <c r="E809" s="18" t="s">
        <v>9</v>
      </c>
    </row>
    <row r="810" spans="1:4" ht="21.75" customHeight="1">
      <c r="A810" s="15" t="s">
        <v>35</v>
      </c>
      <c r="B810" s="16" t="s">
        <v>37</v>
      </c>
      <c r="C810" s="15" t="str">
        <f>"20190112711"</f>
        <v>20190112711</v>
      </c>
      <c r="D810" s="17">
        <v>59.5</v>
      </c>
    </row>
    <row r="811" spans="1:4" ht="21.75" customHeight="1">
      <c r="A811" s="15" t="s">
        <v>35</v>
      </c>
      <c r="B811" s="16" t="s">
        <v>37</v>
      </c>
      <c r="C811" s="15" t="str">
        <f>"20190112712"</f>
        <v>20190112712</v>
      </c>
      <c r="D811" s="17">
        <v>64</v>
      </c>
    </row>
    <row r="812" spans="1:4" ht="21.75" customHeight="1">
      <c r="A812" s="15" t="s">
        <v>35</v>
      </c>
      <c r="B812" s="16" t="s">
        <v>37</v>
      </c>
      <c r="C812" s="15" t="str">
        <f>"20190112713"</f>
        <v>20190112713</v>
      </c>
      <c r="D812" s="17">
        <v>54</v>
      </c>
    </row>
    <row r="813" spans="1:4" ht="21.75" customHeight="1">
      <c r="A813" s="15" t="s">
        <v>35</v>
      </c>
      <c r="B813" s="16" t="s">
        <v>37</v>
      </c>
      <c r="C813" s="15" t="str">
        <f>"20190112714"</f>
        <v>20190112714</v>
      </c>
      <c r="D813" s="17">
        <v>63.5</v>
      </c>
    </row>
    <row r="814" spans="1:4" ht="21.75" customHeight="1">
      <c r="A814" s="15" t="s">
        <v>35</v>
      </c>
      <c r="B814" s="16" t="s">
        <v>37</v>
      </c>
      <c r="C814" s="15" t="str">
        <f>"20190112715"</f>
        <v>20190112715</v>
      </c>
      <c r="D814" s="17">
        <v>59</v>
      </c>
    </row>
    <row r="815" spans="1:4" ht="21.75" customHeight="1">
      <c r="A815" s="15" t="s">
        <v>35</v>
      </c>
      <c r="B815" s="16" t="s">
        <v>37</v>
      </c>
      <c r="C815" s="15" t="str">
        <f>"20190112716"</f>
        <v>20190112716</v>
      </c>
      <c r="D815" s="17">
        <v>55</v>
      </c>
    </row>
    <row r="816" spans="1:4" ht="21.75" customHeight="1">
      <c r="A816" s="15" t="s">
        <v>35</v>
      </c>
      <c r="B816" s="16" t="s">
        <v>37</v>
      </c>
      <c r="C816" s="15" t="str">
        <f>"20190112717"</f>
        <v>20190112717</v>
      </c>
      <c r="D816" s="17">
        <v>58.5</v>
      </c>
    </row>
    <row r="817" spans="1:4" ht="21.75" customHeight="1">
      <c r="A817" s="15" t="s">
        <v>35</v>
      </c>
      <c r="B817" s="16" t="s">
        <v>37</v>
      </c>
      <c r="C817" s="15" t="str">
        <f>"20190112718"</f>
        <v>20190112718</v>
      </c>
      <c r="D817" s="17">
        <v>64.5</v>
      </c>
    </row>
    <row r="818" spans="1:4" ht="21.75" customHeight="1">
      <c r="A818" s="15" t="s">
        <v>35</v>
      </c>
      <c r="B818" s="16" t="s">
        <v>37</v>
      </c>
      <c r="C818" s="15" t="str">
        <f>"20190112719"</f>
        <v>20190112719</v>
      </c>
      <c r="D818" s="17">
        <v>66</v>
      </c>
    </row>
    <row r="819" spans="1:4" ht="21.75" customHeight="1">
      <c r="A819" s="15" t="s">
        <v>35</v>
      </c>
      <c r="B819" s="16" t="s">
        <v>37</v>
      </c>
      <c r="C819" s="15" t="str">
        <f>"20190112720"</f>
        <v>20190112720</v>
      </c>
      <c r="D819" s="17">
        <v>48.5</v>
      </c>
    </row>
    <row r="820" spans="1:4" ht="21.75" customHeight="1">
      <c r="A820" s="15" t="s">
        <v>35</v>
      </c>
      <c r="B820" s="16" t="s">
        <v>37</v>
      </c>
      <c r="C820" s="15" t="str">
        <f>"20190112721"</f>
        <v>20190112721</v>
      </c>
      <c r="D820" s="17" t="s">
        <v>12</v>
      </c>
    </row>
    <row r="821" spans="1:5" ht="21.75" customHeight="1">
      <c r="A821" s="15" t="s">
        <v>35</v>
      </c>
      <c r="B821" s="16" t="s">
        <v>37</v>
      </c>
      <c r="C821" s="15" t="str">
        <f>"20190112722"</f>
        <v>20190112722</v>
      </c>
      <c r="D821" s="17">
        <v>75</v>
      </c>
      <c r="E821" s="18" t="s">
        <v>9</v>
      </c>
    </row>
    <row r="822" spans="1:4" ht="21.75" customHeight="1">
      <c r="A822" s="15" t="s">
        <v>35</v>
      </c>
      <c r="B822" s="16" t="s">
        <v>37</v>
      </c>
      <c r="C822" s="15" t="str">
        <f>"20190112723"</f>
        <v>20190112723</v>
      </c>
      <c r="D822" s="17">
        <v>56</v>
      </c>
    </row>
    <row r="823" spans="1:4" ht="21.75" customHeight="1">
      <c r="A823" s="15" t="s">
        <v>35</v>
      </c>
      <c r="B823" s="16" t="s">
        <v>37</v>
      </c>
      <c r="C823" s="15" t="str">
        <f>"20190112724"</f>
        <v>20190112724</v>
      </c>
      <c r="D823" s="17">
        <v>58</v>
      </c>
    </row>
    <row r="824" spans="1:4" ht="21.75" customHeight="1">
      <c r="A824" s="15" t="s">
        <v>35</v>
      </c>
      <c r="B824" s="16" t="s">
        <v>37</v>
      </c>
      <c r="C824" s="15" t="str">
        <f>"20190112725"</f>
        <v>20190112725</v>
      </c>
      <c r="D824" s="17">
        <v>64</v>
      </c>
    </row>
    <row r="825" spans="1:4" ht="21.75" customHeight="1">
      <c r="A825" s="15" t="s">
        <v>35</v>
      </c>
      <c r="B825" s="16" t="s">
        <v>38</v>
      </c>
      <c r="C825" s="15" t="str">
        <f>"20190112726"</f>
        <v>20190112726</v>
      </c>
      <c r="D825" s="17">
        <v>60</v>
      </c>
    </row>
    <row r="826" spans="1:4" ht="21.75" customHeight="1">
      <c r="A826" s="15" t="s">
        <v>35</v>
      </c>
      <c r="B826" s="16" t="s">
        <v>38</v>
      </c>
      <c r="C826" s="15" t="str">
        <f>"20190112727"</f>
        <v>20190112727</v>
      </c>
      <c r="D826" s="17">
        <v>58</v>
      </c>
    </row>
    <row r="827" spans="1:4" ht="21.75" customHeight="1">
      <c r="A827" s="15" t="s">
        <v>35</v>
      </c>
      <c r="B827" s="16" t="s">
        <v>38</v>
      </c>
      <c r="C827" s="15" t="str">
        <f>"20190112728"</f>
        <v>20190112728</v>
      </c>
      <c r="D827" s="17">
        <v>57.5</v>
      </c>
    </row>
    <row r="828" spans="1:4" ht="21.75" customHeight="1">
      <c r="A828" s="15" t="s">
        <v>35</v>
      </c>
      <c r="B828" s="16" t="s">
        <v>38</v>
      </c>
      <c r="C828" s="15" t="str">
        <f>"20190112729"</f>
        <v>20190112729</v>
      </c>
      <c r="D828" s="17">
        <v>62</v>
      </c>
    </row>
    <row r="829" spans="1:4" ht="21.75" customHeight="1">
      <c r="A829" s="15" t="s">
        <v>35</v>
      </c>
      <c r="B829" s="16" t="s">
        <v>38</v>
      </c>
      <c r="C829" s="15" t="str">
        <f>"20190112730"</f>
        <v>20190112730</v>
      </c>
      <c r="D829" s="17">
        <v>58.5</v>
      </c>
    </row>
    <row r="830" spans="1:4" ht="21.75" customHeight="1">
      <c r="A830" s="15" t="s">
        <v>35</v>
      </c>
      <c r="B830" s="16" t="s">
        <v>38</v>
      </c>
      <c r="C830" s="15" t="str">
        <f>"20190112801"</f>
        <v>20190112801</v>
      </c>
      <c r="D830" s="17">
        <v>55.5</v>
      </c>
    </row>
    <row r="831" spans="1:4" ht="21.75" customHeight="1">
      <c r="A831" s="15" t="s">
        <v>35</v>
      </c>
      <c r="B831" s="16" t="s">
        <v>38</v>
      </c>
      <c r="C831" s="15" t="str">
        <f>"20190112802"</f>
        <v>20190112802</v>
      </c>
      <c r="D831" s="17">
        <v>61</v>
      </c>
    </row>
    <row r="832" spans="1:4" ht="21.75" customHeight="1">
      <c r="A832" s="15" t="s">
        <v>35</v>
      </c>
      <c r="B832" s="16" t="s">
        <v>38</v>
      </c>
      <c r="C832" s="15" t="str">
        <f>"20190112803"</f>
        <v>20190112803</v>
      </c>
      <c r="D832" s="17">
        <v>61</v>
      </c>
    </row>
    <row r="833" spans="1:4" ht="21.75" customHeight="1">
      <c r="A833" s="15" t="s">
        <v>35</v>
      </c>
      <c r="B833" s="16" t="s">
        <v>38</v>
      </c>
      <c r="C833" s="15" t="str">
        <f>"20190112804"</f>
        <v>20190112804</v>
      </c>
      <c r="D833" s="17">
        <v>47.5</v>
      </c>
    </row>
    <row r="834" spans="1:5" ht="21.75" customHeight="1">
      <c r="A834" s="15" t="s">
        <v>35</v>
      </c>
      <c r="B834" s="16" t="s">
        <v>38</v>
      </c>
      <c r="C834" s="15" t="str">
        <f>"20190112805"</f>
        <v>20190112805</v>
      </c>
      <c r="D834" s="17">
        <v>64.5</v>
      </c>
      <c r="E834" s="18" t="s">
        <v>9</v>
      </c>
    </row>
    <row r="835" spans="1:4" ht="21.75" customHeight="1">
      <c r="A835" s="15" t="s">
        <v>35</v>
      </c>
      <c r="B835" s="16" t="s">
        <v>38</v>
      </c>
      <c r="C835" s="15" t="str">
        <f>"20190112806"</f>
        <v>20190112806</v>
      </c>
      <c r="D835" s="17" t="s">
        <v>12</v>
      </c>
    </row>
    <row r="836" spans="1:4" ht="21.75" customHeight="1">
      <c r="A836" s="15" t="s">
        <v>35</v>
      </c>
      <c r="B836" s="16" t="s">
        <v>38</v>
      </c>
      <c r="C836" s="15" t="str">
        <f>"20190112807"</f>
        <v>20190112807</v>
      </c>
      <c r="D836" s="17">
        <v>62</v>
      </c>
    </row>
    <row r="837" spans="1:5" ht="21.75" customHeight="1">
      <c r="A837" s="15" t="s">
        <v>35</v>
      </c>
      <c r="B837" s="16" t="s">
        <v>38</v>
      </c>
      <c r="C837" s="15" t="str">
        <f>"20190112808"</f>
        <v>20190112808</v>
      </c>
      <c r="D837" s="17">
        <v>64.5</v>
      </c>
      <c r="E837" s="18" t="s">
        <v>9</v>
      </c>
    </row>
    <row r="838" spans="1:4" ht="21.75" customHeight="1">
      <c r="A838" s="15" t="s">
        <v>35</v>
      </c>
      <c r="B838" s="16" t="s">
        <v>38</v>
      </c>
      <c r="C838" s="15" t="str">
        <f>"20190112809"</f>
        <v>20190112809</v>
      </c>
      <c r="D838" s="17">
        <v>58.5</v>
      </c>
    </row>
    <row r="839" spans="1:4" ht="21.75" customHeight="1">
      <c r="A839" s="15" t="s">
        <v>35</v>
      </c>
      <c r="B839" s="16" t="s">
        <v>38</v>
      </c>
      <c r="C839" s="15" t="str">
        <f>"20190112810"</f>
        <v>20190112810</v>
      </c>
      <c r="D839" s="17">
        <v>64</v>
      </c>
    </row>
    <row r="840" spans="1:4" ht="21.75" customHeight="1">
      <c r="A840" s="15" t="s">
        <v>35</v>
      </c>
      <c r="B840" s="16" t="s">
        <v>38</v>
      </c>
      <c r="C840" s="15" t="str">
        <f>"20190112811"</f>
        <v>20190112811</v>
      </c>
      <c r="D840" s="17">
        <v>53</v>
      </c>
    </row>
    <row r="841" spans="1:4" ht="21.75" customHeight="1">
      <c r="A841" s="15" t="s">
        <v>35</v>
      </c>
      <c r="B841" s="16" t="s">
        <v>38</v>
      </c>
      <c r="C841" s="15" t="str">
        <f>"20190112812"</f>
        <v>20190112812</v>
      </c>
      <c r="D841" s="17" t="s">
        <v>12</v>
      </c>
    </row>
    <row r="842" spans="1:4" ht="21.75" customHeight="1">
      <c r="A842" s="15" t="s">
        <v>35</v>
      </c>
      <c r="B842" s="16" t="s">
        <v>38</v>
      </c>
      <c r="C842" s="15" t="str">
        <f>"20190112813"</f>
        <v>20190112813</v>
      </c>
      <c r="D842" s="17">
        <v>51.5</v>
      </c>
    </row>
    <row r="843" spans="1:4" ht="21.75" customHeight="1">
      <c r="A843" s="15" t="s">
        <v>35</v>
      </c>
      <c r="B843" s="16" t="s">
        <v>38</v>
      </c>
      <c r="C843" s="15" t="str">
        <f>"20190112814"</f>
        <v>20190112814</v>
      </c>
      <c r="D843" s="17">
        <v>62.5</v>
      </c>
    </row>
    <row r="844" spans="1:4" ht="21.75" customHeight="1">
      <c r="A844" s="15" t="s">
        <v>35</v>
      </c>
      <c r="B844" s="16" t="s">
        <v>38</v>
      </c>
      <c r="C844" s="15" t="str">
        <f>"20190112815"</f>
        <v>20190112815</v>
      </c>
      <c r="D844" s="17" t="s">
        <v>12</v>
      </c>
    </row>
    <row r="845" spans="1:4" ht="21.75" customHeight="1">
      <c r="A845" s="15" t="s">
        <v>35</v>
      </c>
      <c r="B845" s="16" t="s">
        <v>38</v>
      </c>
      <c r="C845" s="15" t="str">
        <f>"20190112816"</f>
        <v>20190112816</v>
      </c>
      <c r="D845" s="17">
        <v>62</v>
      </c>
    </row>
    <row r="846" spans="1:4" ht="21.75" customHeight="1">
      <c r="A846" s="15" t="s">
        <v>35</v>
      </c>
      <c r="B846" s="16" t="s">
        <v>38</v>
      </c>
      <c r="C846" s="15" t="str">
        <f>"20190112817"</f>
        <v>20190112817</v>
      </c>
      <c r="D846" s="17">
        <v>60.5</v>
      </c>
    </row>
    <row r="847" spans="1:4" ht="21.75" customHeight="1">
      <c r="A847" s="15" t="s">
        <v>35</v>
      </c>
      <c r="B847" s="16" t="s">
        <v>38</v>
      </c>
      <c r="C847" s="15" t="str">
        <f>"20190112818"</f>
        <v>20190112818</v>
      </c>
      <c r="D847" s="17">
        <v>63.5</v>
      </c>
    </row>
    <row r="848" spans="1:5" ht="21.75" customHeight="1">
      <c r="A848" s="15" t="s">
        <v>35</v>
      </c>
      <c r="B848" s="16" t="s">
        <v>38</v>
      </c>
      <c r="C848" s="15" t="str">
        <f>"20190112819"</f>
        <v>20190112819</v>
      </c>
      <c r="D848" s="17">
        <v>65</v>
      </c>
      <c r="E848" s="18" t="s">
        <v>9</v>
      </c>
    </row>
    <row r="849" spans="1:4" ht="21.75" customHeight="1">
      <c r="A849" s="15" t="s">
        <v>35</v>
      </c>
      <c r="B849" s="16" t="s">
        <v>38</v>
      </c>
      <c r="C849" s="15" t="str">
        <f>"20190112820"</f>
        <v>20190112820</v>
      </c>
      <c r="D849" s="17">
        <v>59.5</v>
      </c>
    </row>
    <row r="850" spans="1:5" ht="21.75" customHeight="1">
      <c r="A850" s="15" t="s">
        <v>35</v>
      </c>
      <c r="B850" s="16" t="s">
        <v>38</v>
      </c>
      <c r="C850" s="15" t="str">
        <f>"20190112821"</f>
        <v>20190112821</v>
      </c>
      <c r="D850" s="17">
        <v>67.5</v>
      </c>
      <c r="E850" s="18" t="s">
        <v>9</v>
      </c>
    </row>
    <row r="851" spans="1:4" ht="21.75" customHeight="1">
      <c r="A851" s="15" t="s">
        <v>35</v>
      </c>
      <c r="B851" s="16" t="s">
        <v>38</v>
      </c>
      <c r="C851" s="15" t="str">
        <f>"20190112822"</f>
        <v>20190112822</v>
      </c>
      <c r="D851" s="17" t="s">
        <v>12</v>
      </c>
    </row>
    <row r="852" spans="1:4" ht="21.75" customHeight="1">
      <c r="A852" s="15" t="s">
        <v>35</v>
      </c>
      <c r="B852" s="16" t="s">
        <v>38</v>
      </c>
      <c r="C852" s="15" t="str">
        <f>"20190112823"</f>
        <v>20190112823</v>
      </c>
      <c r="D852" s="17" t="s">
        <v>12</v>
      </c>
    </row>
    <row r="853" spans="1:4" ht="21.75" customHeight="1">
      <c r="A853" s="15" t="s">
        <v>35</v>
      </c>
      <c r="B853" s="16" t="s">
        <v>38</v>
      </c>
      <c r="C853" s="15" t="str">
        <f>"20190112824"</f>
        <v>20190112824</v>
      </c>
      <c r="D853" s="17">
        <v>51</v>
      </c>
    </row>
    <row r="854" spans="1:4" ht="21.75" customHeight="1">
      <c r="A854" s="15" t="s">
        <v>35</v>
      </c>
      <c r="B854" s="16" t="s">
        <v>38</v>
      </c>
      <c r="C854" s="15" t="str">
        <f>"20190112825"</f>
        <v>20190112825</v>
      </c>
      <c r="D854" s="17">
        <v>53</v>
      </c>
    </row>
    <row r="855" spans="1:4" ht="21.75" customHeight="1">
      <c r="A855" s="15" t="s">
        <v>35</v>
      </c>
      <c r="B855" s="16" t="s">
        <v>38</v>
      </c>
      <c r="C855" s="15" t="str">
        <f>"20190112826"</f>
        <v>20190112826</v>
      </c>
      <c r="D855" s="17">
        <v>61</v>
      </c>
    </row>
    <row r="856" spans="1:4" ht="21.75" customHeight="1">
      <c r="A856" s="15" t="s">
        <v>35</v>
      </c>
      <c r="B856" s="16" t="s">
        <v>38</v>
      </c>
      <c r="C856" s="15" t="str">
        <f>"20190112827"</f>
        <v>20190112827</v>
      </c>
      <c r="D856" s="17">
        <v>63.5</v>
      </c>
    </row>
    <row r="857" spans="1:4" ht="21.75" customHeight="1">
      <c r="A857" s="15" t="s">
        <v>35</v>
      </c>
      <c r="B857" s="16" t="s">
        <v>38</v>
      </c>
      <c r="C857" s="15" t="str">
        <f>"20190112828"</f>
        <v>20190112828</v>
      </c>
      <c r="D857" s="17">
        <v>62.5</v>
      </c>
    </row>
    <row r="858" spans="1:4" ht="21.75" customHeight="1">
      <c r="A858" s="15" t="s">
        <v>35</v>
      </c>
      <c r="B858" s="16" t="s">
        <v>38</v>
      </c>
      <c r="C858" s="15" t="str">
        <f>"20190112829"</f>
        <v>20190112829</v>
      </c>
      <c r="D858" s="17">
        <v>54</v>
      </c>
    </row>
    <row r="859" spans="1:4" ht="21.75" customHeight="1">
      <c r="A859" s="15" t="s">
        <v>35</v>
      </c>
      <c r="B859" s="16" t="s">
        <v>38</v>
      </c>
      <c r="C859" s="15" t="str">
        <f>"20190112830"</f>
        <v>20190112830</v>
      </c>
      <c r="D859" s="17">
        <v>62</v>
      </c>
    </row>
    <row r="860" spans="1:4" ht="21.75" customHeight="1">
      <c r="A860" s="15" t="s">
        <v>39</v>
      </c>
      <c r="B860" s="16" t="s">
        <v>8</v>
      </c>
      <c r="C860" s="15" t="str">
        <f>"20190112901"</f>
        <v>20190112901</v>
      </c>
      <c r="D860" s="17">
        <v>63.5</v>
      </c>
    </row>
    <row r="861" spans="1:4" ht="21.75" customHeight="1">
      <c r="A861" s="15" t="s">
        <v>39</v>
      </c>
      <c r="B861" s="16" t="s">
        <v>8</v>
      </c>
      <c r="C861" s="15" t="str">
        <f>"20190112902"</f>
        <v>20190112902</v>
      </c>
      <c r="D861" s="17" t="s">
        <v>12</v>
      </c>
    </row>
    <row r="862" spans="1:4" ht="21.75" customHeight="1">
      <c r="A862" s="15" t="s">
        <v>39</v>
      </c>
      <c r="B862" s="16" t="s">
        <v>8</v>
      </c>
      <c r="C862" s="15" t="str">
        <f>"20190112903"</f>
        <v>20190112903</v>
      </c>
      <c r="D862" s="17">
        <v>61.5</v>
      </c>
    </row>
    <row r="863" spans="1:4" ht="21.75" customHeight="1">
      <c r="A863" s="15" t="s">
        <v>39</v>
      </c>
      <c r="B863" s="16" t="s">
        <v>8</v>
      </c>
      <c r="C863" s="15" t="str">
        <f>"20190112904"</f>
        <v>20190112904</v>
      </c>
      <c r="D863" s="17">
        <v>63</v>
      </c>
    </row>
    <row r="864" spans="1:4" ht="21.75" customHeight="1">
      <c r="A864" s="15" t="s">
        <v>39</v>
      </c>
      <c r="B864" s="16" t="s">
        <v>8</v>
      </c>
      <c r="C864" s="15" t="str">
        <f>"20190112905"</f>
        <v>20190112905</v>
      </c>
      <c r="D864" s="17">
        <v>62</v>
      </c>
    </row>
    <row r="865" spans="1:4" ht="21.75" customHeight="1">
      <c r="A865" s="15" t="s">
        <v>39</v>
      </c>
      <c r="B865" s="16" t="s">
        <v>8</v>
      </c>
      <c r="C865" s="15" t="str">
        <f>"20190112906"</f>
        <v>20190112906</v>
      </c>
      <c r="D865" s="17">
        <v>65</v>
      </c>
    </row>
    <row r="866" spans="1:4" ht="21.75" customHeight="1">
      <c r="A866" s="15" t="s">
        <v>39</v>
      </c>
      <c r="B866" s="16" t="s">
        <v>8</v>
      </c>
      <c r="C866" s="15" t="str">
        <f>"20190112907"</f>
        <v>20190112907</v>
      </c>
      <c r="D866" s="17">
        <v>59.5</v>
      </c>
    </row>
    <row r="867" spans="1:4" ht="21.75" customHeight="1">
      <c r="A867" s="15" t="s">
        <v>39</v>
      </c>
      <c r="B867" s="16" t="s">
        <v>8</v>
      </c>
      <c r="C867" s="15" t="str">
        <f>"20190112908"</f>
        <v>20190112908</v>
      </c>
      <c r="D867" s="17">
        <v>53.5</v>
      </c>
    </row>
    <row r="868" spans="1:5" ht="21.75" customHeight="1">
      <c r="A868" s="15" t="s">
        <v>39</v>
      </c>
      <c r="B868" s="16" t="s">
        <v>8</v>
      </c>
      <c r="C868" s="15" t="str">
        <f>"20190112909"</f>
        <v>20190112909</v>
      </c>
      <c r="D868" s="17">
        <v>70.5</v>
      </c>
      <c r="E868" s="18" t="s">
        <v>9</v>
      </c>
    </row>
    <row r="869" spans="1:4" ht="21.75" customHeight="1">
      <c r="A869" s="15" t="s">
        <v>39</v>
      </c>
      <c r="B869" s="16" t="s">
        <v>8</v>
      </c>
      <c r="C869" s="15" t="str">
        <f>"20190112910"</f>
        <v>20190112910</v>
      </c>
      <c r="D869" s="17">
        <v>57.5</v>
      </c>
    </row>
    <row r="870" spans="1:4" ht="21.75" customHeight="1">
      <c r="A870" s="15" t="s">
        <v>39</v>
      </c>
      <c r="B870" s="16" t="s">
        <v>8</v>
      </c>
      <c r="C870" s="15" t="str">
        <f>"20190112911"</f>
        <v>20190112911</v>
      </c>
      <c r="D870" s="17">
        <v>56.5</v>
      </c>
    </row>
    <row r="871" spans="1:4" ht="21.75" customHeight="1">
      <c r="A871" s="15" t="s">
        <v>39</v>
      </c>
      <c r="B871" s="16" t="s">
        <v>8</v>
      </c>
      <c r="C871" s="15" t="str">
        <f>"20190112912"</f>
        <v>20190112912</v>
      </c>
      <c r="D871" s="17">
        <v>68.5</v>
      </c>
    </row>
    <row r="872" spans="1:4" ht="21.75" customHeight="1">
      <c r="A872" s="15" t="s">
        <v>39</v>
      </c>
      <c r="B872" s="16" t="s">
        <v>8</v>
      </c>
      <c r="C872" s="15" t="str">
        <f>"20190112913"</f>
        <v>20190112913</v>
      </c>
      <c r="D872" s="17">
        <v>61</v>
      </c>
    </row>
    <row r="873" spans="1:4" ht="21.75" customHeight="1">
      <c r="A873" s="15" t="s">
        <v>39</v>
      </c>
      <c r="B873" s="16" t="s">
        <v>8</v>
      </c>
      <c r="C873" s="15" t="str">
        <f>"20190112914"</f>
        <v>20190112914</v>
      </c>
      <c r="D873" s="17" t="s">
        <v>12</v>
      </c>
    </row>
    <row r="874" spans="1:4" ht="21.75" customHeight="1">
      <c r="A874" s="15" t="s">
        <v>39</v>
      </c>
      <c r="B874" s="16" t="s">
        <v>8</v>
      </c>
      <c r="C874" s="15" t="str">
        <f>"20190112915"</f>
        <v>20190112915</v>
      </c>
      <c r="D874" s="17">
        <v>63.5</v>
      </c>
    </row>
    <row r="875" spans="1:4" ht="21.75" customHeight="1">
      <c r="A875" s="15" t="s">
        <v>39</v>
      </c>
      <c r="B875" s="16" t="s">
        <v>8</v>
      </c>
      <c r="C875" s="15" t="str">
        <f>"20190112916"</f>
        <v>20190112916</v>
      </c>
      <c r="D875" s="17">
        <v>55.5</v>
      </c>
    </row>
    <row r="876" spans="1:4" ht="21.75" customHeight="1">
      <c r="A876" s="15" t="s">
        <v>39</v>
      </c>
      <c r="B876" s="16" t="s">
        <v>8</v>
      </c>
      <c r="C876" s="15" t="str">
        <f>"20190112917"</f>
        <v>20190112917</v>
      </c>
      <c r="D876" s="17">
        <v>69</v>
      </c>
    </row>
    <row r="877" spans="1:4" ht="21.75" customHeight="1">
      <c r="A877" s="15" t="s">
        <v>39</v>
      </c>
      <c r="B877" s="16" t="s">
        <v>8</v>
      </c>
      <c r="C877" s="15" t="str">
        <f>"20190112918"</f>
        <v>20190112918</v>
      </c>
      <c r="D877" s="17">
        <v>59</v>
      </c>
    </row>
    <row r="878" spans="1:4" ht="21.75" customHeight="1">
      <c r="A878" s="15" t="s">
        <v>39</v>
      </c>
      <c r="B878" s="16" t="s">
        <v>8</v>
      </c>
      <c r="C878" s="15" t="str">
        <f>"20190112919"</f>
        <v>20190112919</v>
      </c>
      <c r="D878" s="17" t="s">
        <v>12</v>
      </c>
    </row>
    <row r="879" spans="1:5" ht="21.75" customHeight="1">
      <c r="A879" s="15" t="s">
        <v>39</v>
      </c>
      <c r="B879" s="16" t="s">
        <v>8</v>
      </c>
      <c r="C879" s="15" t="str">
        <f>"20190112920"</f>
        <v>20190112920</v>
      </c>
      <c r="D879" s="17">
        <v>70</v>
      </c>
      <c r="E879" s="18" t="s">
        <v>9</v>
      </c>
    </row>
    <row r="880" spans="1:4" ht="21.75" customHeight="1">
      <c r="A880" s="15" t="s">
        <v>39</v>
      </c>
      <c r="B880" s="16" t="s">
        <v>8</v>
      </c>
      <c r="C880" s="15" t="str">
        <f>"20190112921"</f>
        <v>20190112921</v>
      </c>
      <c r="D880" s="17">
        <v>65.5</v>
      </c>
    </row>
    <row r="881" spans="1:4" ht="21.75" customHeight="1">
      <c r="A881" s="15" t="s">
        <v>39</v>
      </c>
      <c r="B881" s="16" t="s">
        <v>8</v>
      </c>
      <c r="C881" s="15" t="str">
        <f>"20190112922"</f>
        <v>20190112922</v>
      </c>
      <c r="D881" s="17">
        <v>66.5</v>
      </c>
    </row>
    <row r="882" spans="1:4" ht="21.75" customHeight="1">
      <c r="A882" s="15" t="s">
        <v>39</v>
      </c>
      <c r="B882" s="16" t="s">
        <v>8</v>
      </c>
      <c r="C882" s="15" t="str">
        <f>"20190112923"</f>
        <v>20190112923</v>
      </c>
      <c r="D882" s="17">
        <v>57</v>
      </c>
    </row>
    <row r="883" spans="1:4" ht="21.75" customHeight="1">
      <c r="A883" s="15" t="s">
        <v>39</v>
      </c>
      <c r="B883" s="16" t="s">
        <v>8</v>
      </c>
      <c r="C883" s="15" t="str">
        <f>"20190112924"</f>
        <v>20190112924</v>
      </c>
      <c r="D883" s="17">
        <v>61.5</v>
      </c>
    </row>
    <row r="884" spans="1:4" ht="21.75" customHeight="1">
      <c r="A884" s="15" t="s">
        <v>39</v>
      </c>
      <c r="B884" s="16" t="s">
        <v>8</v>
      </c>
      <c r="C884" s="15" t="str">
        <f>"20190112925"</f>
        <v>20190112925</v>
      </c>
      <c r="D884" s="17">
        <v>62</v>
      </c>
    </row>
    <row r="885" spans="1:4" ht="21.75" customHeight="1">
      <c r="A885" s="15" t="s">
        <v>39</v>
      </c>
      <c r="B885" s="16" t="s">
        <v>8</v>
      </c>
      <c r="C885" s="15" t="str">
        <f>"20190112926"</f>
        <v>20190112926</v>
      </c>
      <c r="D885" s="17">
        <v>51.5</v>
      </c>
    </row>
    <row r="886" spans="1:4" ht="21.75" customHeight="1">
      <c r="A886" s="15" t="s">
        <v>39</v>
      </c>
      <c r="B886" s="16" t="s">
        <v>8</v>
      </c>
      <c r="C886" s="15" t="str">
        <f>"20190112927"</f>
        <v>20190112927</v>
      </c>
      <c r="D886" s="17">
        <v>59</v>
      </c>
    </row>
    <row r="887" spans="1:4" ht="21.75" customHeight="1">
      <c r="A887" s="15" t="s">
        <v>39</v>
      </c>
      <c r="B887" s="16" t="s">
        <v>8</v>
      </c>
      <c r="C887" s="15" t="str">
        <f>"20190112928"</f>
        <v>20190112928</v>
      </c>
      <c r="D887" s="17">
        <v>61.5</v>
      </c>
    </row>
    <row r="888" spans="1:4" ht="21.75" customHeight="1">
      <c r="A888" s="15" t="s">
        <v>39</v>
      </c>
      <c r="B888" s="16" t="s">
        <v>8</v>
      </c>
      <c r="C888" s="15" t="str">
        <f>"20190112929"</f>
        <v>20190112929</v>
      </c>
      <c r="D888" s="17">
        <v>57.5</v>
      </c>
    </row>
    <row r="889" spans="1:5" ht="21.75" customHeight="1">
      <c r="A889" s="15" t="s">
        <v>39</v>
      </c>
      <c r="B889" s="16" t="s">
        <v>8</v>
      </c>
      <c r="C889" s="15" t="str">
        <f>"20190112930"</f>
        <v>20190112930</v>
      </c>
      <c r="D889" s="17">
        <v>66</v>
      </c>
      <c r="E889" s="19"/>
    </row>
    <row r="890" spans="1:5" ht="21.75" customHeight="1">
      <c r="A890" s="15" t="s">
        <v>39</v>
      </c>
      <c r="B890" s="16" t="s">
        <v>8</v>
      </c>
      <c r="C890" s="15" t="str">
        <f>"20190113001"</f>
        <v>20190113001</v>
      </c>
      <c r="D890" s="17">
        <v>49.5</v>
      </c>
      <c r="E890" s="19"/>
    </row>
    <row r="891" spans="1:5" ht="21.75" customHeight="1">
      <c r="A891" s="15" t="s">
        <v>39</v>
      </c>
      <c r="B891" s="16" t="s">
        <v>8</v>
      </c>
      <c r="C891" s="15" t="str">
        <f>"20190113002"</f>
        <v>20190113002</v>
      </c>
      <c r="D891" s="17">
        <v>60</v>
      </c>
      <c r="E891" s="19"/>
    </row>
    <row r="892" spans="1:5" ht="21.75" customHeight="1">
      <c r="A892" s="15" t="s">
        <v>39</v>
      </c>
      <c r="B892" s="16" t="s">
        <v>8</v>
      </c>
      <c r="C892" s="15" t="str">
        <f>"20190113003"</f>
        <v>20190113003</v>
      </c>
      <c r="D892" s="17">
        <v>68.5</v>
      </c>
      <c r="E892" s="19"/>
    </row>
    <row r="893" spans="1:5" ht="21.75" customHeight="1">
      <c r="A893" s="15" t="s">
        <v>39</v>
      </c>
      <c r="B893" s="16" t="s">
        <v>8</v>
      </c>
      <c r="C893" s="15" t="str">
        <f>"20190113004"</f>
        <v>20190113004</v>
      </c>
      <c r="D893" s="17">
        <v>67</v>
      </c>
      <c r="E893" s="19"/>
    </row>
    <row r="894" spans="1:4" ht="21.75" customHeight="1">
      <c r="A894" s="15" t="s">
        <v>39</v>
      </c>
      <c r="B894" s="16" t="s">
        <v>8</v>
      </c>
      <c r="C894" s="15" t="str">
        <f>"20190113005"</f>
        <v>20190113005</v>
      </c>
      <c r="D894" s="17" t="s">
        <v>12</v>
      </c>
    </row>
    <row r="895" spans="1:4" ht="21.75" customHeight="1">
      <c r="A895" s="15" t="s">
        <v>39</v>
      </c>
      <c r="B895" s="16" t="s">
        <v>8</v>
      </c>
      <c r="C895" s="15" t="str">
        <f>"20190113006"</f>
        <v>20190113006</v>
      </c>
      <c r="D895" s="17" t="s">
        <v>12</v>
      </c>
    </row>
    <row r="896" spans="1:4" ht="21.75" customHeight="1">
      <c r="A896" s="15" t="s">
        <v>39</v>
      </c>
      <c r="B896" s="16" t="s">
        <v>8</v>
      </c>
      <c r="C896" s="15" t="str">
        <f>"20190113007"</f>
        <v>20190113007</v>
      </c>
      <c r="D896" s="17">
        <v>62.5</v>
      </c>
    </row>
    <row r="897" spans="1:4" ht="21.75" customHeight="1">
      <c r="A897" s="15" t="s">
        <v>39</v>
      </c>
      <c r="B897" s="16" t="s">
        <v>8</v>
      </c>
      <c r="C897" s="15" t="str">
        <f>"20190113008"</f>
        <v>20190113008</v>
      </c>
      <c r="D897" s="17">
        <v>57.5</v>
      </c>
    </row>
    <row r="898" spans="1:4" ht="21.75" customHeight="1">
      <c r="A898" s="15" t="s">
        <v>39</v>
      </c>
      <c r="B898" s="16" t="s">
        <v>8</v>
      </c>
      <c r="C898" s="15" t="str">
        <f>"20190113009"</f>
        <v>20190113009</v>
      </c>
      <c r="D898" s="17">
        <v>64.5</v>
      </c>
    </row>
    <row r="899" spans="1:4" ht="21.75" customHeight="1">
      <c r="A899" s="15" t="s">
        <v>39</v>
      </c>
      <c r="B899" s="16" t="s">
        <v>8</v>
      </c>
      <c r="C899" s="15" t="str">
        <f>"20190113010"</f>
        <v>20190113010</v>
      </c>
      <c r="D899" s="17">
        <v>51</v>
      </c>
    </row>
    <row r="900" spans="1:4" ht="21.75" customHeight="1">
      <c r="A900" s="15" t="s">
        <v>39</v>
      </c>
      <c r="B900" s="16" t="s">
        <v>8</v>
      </c>
      <c r="C900" s="15" t="str">
        <f>"20190113011"</f>
        <v>20190113011</v>
      </c>
      <c r="D900" s="17">
        <v>51</v>
      </c>
    </row>
    <row r="901" spans="1:4" ht="21.75" customHeight="1">
      <c r="A901" s="15" t="s">
        <v>39</v>
      </c>
      <c r="B901" s="16" t="s">
        <v>8</v>
      </c>
      <c r="C901" s="15" t="str">
        <f>"20190113012"</f>
        <v>20190113012</v>
      </c>
      <c r="D901" s="17">
        <v>66</v>
      </c>
    </row>
    <row r="902" spans="1:4" ht="21.75" customHeight="1">
      <c r="A902" s="15" t="s">
        <v>39</v>
      </c>
      <c r="B902" s="16" t="s">
        <v>8</v>
      </c>
      <c r="C902" s="15" t="str">
        <f>"20190113013"</f>
        <v>20190113013</v>
      </c>
      <c r="D902" s="17">
        <v>57</v>
      </c>
    </row>
    <row r="903" spans="1:4" ht="21.75" customHeight="1">
      <c r="A903" s="15" t="s">
        <v>39</v>
      </c>
      <c r="B903" s="16" t="s">
        <v>8</v>
      </c>
      <c r="C903" s="15" t="str">
        <f>"20190113014"</f>
        <v>20190113014</v>
      </c>
      <c r="D903" s="17">
        <v>66</v>
      </c>
    </row>
    <row r="904" spans="1:4" ht="21.75" customHeight="1">
      <c r="A904" s="15" t="s">
        <v>39</v>
      </c>
      <c r="B904" s="16" t="s">
        <v>8</v>
      </c>
      <c r="C904" s="15" t="str">
        <f>"20190113015"</f>
        <v>20190113015</v>
      </c>
      <c r="D904" s="17" t="s">
        <v>12</v>
      </c>
    </row>
    <row r="905" spans="1:4" ht="21.75" customHeight="1">
      <c r="A905" s="15" t="s">
        <v>39</v>
      </c>
      <c r="B905" s="16" t="s">
        <v>8</v>
      </c>
      <c r="C905" s="15" t="str">
        <f>"20190113016"</f>
        <v>20190113016</v>
      </c>
      <c r="D905" s="17">
        <v>60</v>
      </c>
    </row>
    <row r="906" spans="1:4" ht="21.75" customHeight="1">
      <c r="A906" s="15" t="s">
        <v>39</v>
      </c>
      <c r="B906" s="16" t="s">
        <v>8</v>
      </c>
      <c r="C906" s="15" t="str">
        <f>"20190113017"</f>
        <v>20190113017</v>
      </c>
      <c r="D906" s="17">
        <v>56.5</v>
      </c>
    </row>
    <row r="907" spans="1:4" ht="21.75" customHeight="1">
      <c r="A907" s="15" t="s">
        <v>39</v>
      </c>
      <c r="B907" s="16" t="s">
        <v>8</v>
      </c>
      <c r="C907" s="15" t="str">
        <f>"20190113018"</f>
        <v>20190113018</v>
      </c>
      <c r="D907" s="17">
        <v>69.5</v>
      </c>
    </row>
    <row r="908" spans="1:4" ht="21.75" customHeight="1">
      <c r="A908" s="15" t="s">
        <v>39</v>
      </c>
      <c r="B908" s="16" t="s">
        <v>8</v>
      </c>
      <c r="C908" s="15" t="str">
        <f>"20190113019"</f>
        <v>20190113019</v>
      </c>
      <c r="D908" s="17" t="s">
        <v>12</v>
      </c>
    </row>
    <row r="909" spans="1:5" ht="21.75" customHeight="1">
      <c r="A909" s="15" t="s">
        <v>39</v>
      </c>
      <c r="B909" s="16" t="s">
        <v>8</v>
      </c>
      <c r="C909" s="15" t="str">
        <f>"20190113020"</f>
        <v>20190113020</v>
      </c>
      <c r="D909" s="17">
        <v>71.5</v>
      </c>
      <c r="E909" s="18" t="s">
        <v>9</v>
      </c>
    </row>
    <row r="910" spans="1:4" ht="21.75" customHeight="1">
      <c r="A910" s="15" t="s">
        <v>39</v>
      </c>
      <c r="B910" s="16" t="s">
        <v>8</v>
      </c>
      <c r="C910" s="15" t="str">
        <f>"20190113021"</f>
        <v>20190113021</v>
      </c>
      <c r="D910" s="17">
        <v>69</v>
      </c>
    </row>
    <row r="911" spans="1:4" ht="21.75" customHeight="1">
      <c r="A911" s="15" t="s">
        <v>39</v>
      </c>
      <c r="B911" s="16" t="s">
        <v>8</v>
      </c>
      <c r="C911" s="15" t="str">
        <f>"20190113022"</f>
        <v>20190113022</v>
      </c>
      <c r="D911" s="17">
        <v>63</v>
      </c>
    </row>
    <row r="912" spans="1:4" ht="21.75" customHeight="1">
      <c r="A912" s="15" t="s">
        <v>39</v>
      </c>
      <c r="B912" s="16" t="s">
        <v>8</v>
      </c>
      <c r="C912" s="15" t="str">
        <f>"20190113023"</f>
        <v>20190113023</v>
      </c>
      <c r="D912" s="17">
        <v>60.5</v>
      </c>
    </row>
    <row r="913" spans="1:4" ht="21.75" customHeight="1">
      <c r="A913" s="15" t="s">
        <v>39</v>
      </c>
      <c r="B913" s="16" t="s">
        <v>8</v>
      </c>
      <c r="C913" s="15" t="str">
        <f>"20190113024"</f>
        <v>20190113024</v>
      </c>
      <c r="D913" s="17">
        <v>50</v>
      </c>
    </row>
    <row r="914" spans="1:4" ht="21.75" customHeight="1">
      <c r="A914" s="15" t="s">
        <v>39</v>
      </c>
      <c r="B914" s="16" t="s">
        <v>8</v>
      </c>
      <c r="C914" s="15" t="str">
        <f>"20190113025"</f>
        <v>20190113025</v>
      </c>
      <c r="D914" s="17">
        <v>63.5</v>
      </c>
    </row>
    <row r="915" spans="1:4" ht="21.75" customHeight="1">
      <c r="A915" s="15" t="s">
        <v>39</v>
      </c>
      <c r="B915" s="16" t="s">
        <v>8</v>
      </c>
      <c r="C915" s="15" t="str">
        <f>"20190113026"</f>
        <v>20190113026</v>
      </c>
      <c r="D915" s="17">
        <v>61</v>
      </c>
    </row>
    <row r="916" spans="1:4" ht="21.75" customHeight="1">
      <c r="A916" s="15" t="s">
        <v>39</v>
      </c>
      <c r="B916" s="16" t="s">
        <v>8</v>
      </c>
      <c r="C916" s="15" t="str">
        <f>"20190113027"</f>
        <v>20190113027</v>
      </c>
      <c r="D916" s="17" t="s">
        <v>12</v>
      </c>
    </row>
    <row r="917" spans="1:4" ht="21.75" customHeight="1">
      <c r="A917" s="15" t="s">
        <v>39</v>
      </c>
      <c r="B917" s="16" t="s">
        <v>8</v>
      </c>
      <c r="C917" s="15" t="str">
        <f>"20190113028"</f>
        <v>20190113028</v>
      </c>
      <c r="D917" s="17">
        <v>60.5</v>
      </c>
    </row>
    <row r="918" spans="1:4" ht="21.75" customHeight="1">
      <c r="A918" s="15" t="s">
        <v>39</v>
      </c>
      <c r="B918" s="16" t="s">
        <v>8</v>
      </c>
      <c r="C918" s="15" t="str">
        <f>"20190113029"</f>
        <v>20190113029</v>
      </c>
      <c r="D918" s="17" t="s">
        <v>12</v>
      </c>
    </row>
    <row r="919" spans="1:4" ht="21.75" customHeight="1">
      <c r="A919" s="15" t="s">
        <v>39</v>
      </c>
      <c r="B919" s="16" t="s">
        <v>8</v>
      </c>
      <c r="C919" s="15" t="str">
        <f>"20190113030"</f>
        <v>20190113030</v>
      </c>
      <c r="D919" s="17">
        <v>63</v>
      </c>
    </row>
    <row r="920" spans="1:4" ht="21.75" customHeight="1">
      <c r="A920" s="15" t="s">
        <v>39</v>
      </c>
      <c r="B920" s="16" t="s">
        <v>8</v>
      </c>
      <c r="C920" s="15" t="str">
        <f>"20190113101"</f>
        <v>20190113101</v>
      </c>
      <c r="D920" s="17">
        <v>52</v>
      </c>
    </row>
    <row r="921" spans="1:4" ht="21.75" customHeight="1">
      <c r="A921" s="15" t="s">
        <v>39</v>
      </c>
      <c r="B921" s="16" t="s">
        <v>8</v>
      </c>
      <c r="C921" s="15" t="str">
        <f>"20190113102"</f>
        <v>20190113102</v>
      </c>
      <c r="D921" s="17">
        <v>58.5</v>
      </c>
    </row>
    <row r="922" spans="1:4" ht="21.75" customHeight="1">
      <c r="A922" s="15" t="s">
        <v>39</v>
      </c>
      <c r="B922" s="16" t="s">
        <v>8</v>
      </c>
      <c r="C922" s="15" t="str">
        <f>"20190113103"</f>
        <v>20190113103</v>
      </c>
      <c r="D922" s="17">
        <v>67</v>
      </c>
    </row>
    <row r="923" spans="1:4" ht="21.75" customHeight="1">
      <c r="A923" s="15" t="s">
        <v>39</v>
      </c>
      <c r="B923" s="16" t="s">
        <v>8</v>
      </c>
      <c r="C923" s="15" t="str">
        <f>"20190113104"</f>
        <v>20190113104</v>
      </c>
      <c r="D923" s="17" t="s">
        <v>12</v>
      </c>
    </row>
    <row r="924" spans="1:4" ht="21.75" customHeight="1">
      <c r="A924" s="15" t="s">
        <v>39</v>
      </c>
      <c r="B924" s="16" t="s">
        <v>8</v>
      </c>
      <c r="C924" s="15" t="str">
        <f>"20190113105"</f>
        <v>20190113105</v>
      </c>
      <c r="D924" s="17" t="s">
        <v>12</v>
      </c>
    </row>
    <row r="925" spans="1:4" ht="21.75" customHeight="1">
      <c r="A925" s="15" t="s">
        <v>39</v>
      </c>
      <c r="B925" s="16" t="s">
        <v>8</v>
      </c>
      <c r="C925" s="15" t="str">
        <f>"20190113106"</f>
        <v>20190113106</v>
      </c>
      <c r="D925" s="17" t="s">
        <v>12</v>
      </c>
    </row>
    <row r="926" spans="1:4" ht="21.75" customHeight="1">
      <c r="A926" s="15" t="s">
        <v>39</v>
      </c>
      <c r="B926" s="16" t="s">
        <v>8</v>
      </c>
      <c r="C926" s="15" t="str">
        <f>"20190113107"</f>
        <v>20190113107</v>
      </c>
      <c r="D926" s="17">
        <v>59</v>
      </c>
    </row>
    <row r="927" spans="1:4" ht="21.75" customHeight="1">
      <c r="A927" s="15" t="s">
        <v>39</v>
      </c>
      <c r="B927" s="16" t="s">
        <v>8</v>
      </c>
      <c r="C927" s="15" t="str">
        <f>"20190113108"</f>
        <v>20190113108</v>
      </c>
      <c r="D927" s="17">
        <v>56.5</v>
      </c>
    </row>
    <row r="928" spans="1:4" ht="21.75" customHeight="1">
      <c r="A928" s="15" t="s">
        <v>39</v>
      </c>
      <c r="B928" s="16" t="s">
        <v>8</v>
      </c>
      <c r="C928" s="15" t="str">
        <f>"20190113109"</f>
        <v>20190113109</v>
      </c>
      <c r="D928" s="17">
        <v>64</v>
      </c>
    </row>
    <row r="929" spans="1:4" ht="21.75" customHeight="1">
      <c r="A929" s="15" t="s">
        <v>39</v>
      </c>
      <c r="B929" s="16" t="s">
        <v>8</v>
      </c>
      <c r="C929" s="15" t="str">
        <f>"20190113110"</f>
        <v>20190113110</v>
      </c>
      <c r="D929" s="17" t="s">
        <v>12</v>
      </c>
    </row>
    <row r="930" spans="1:4" ht="21.75" customHeight="1">
      <c r="A930" s="15" t="s">
        <v>39</v>
      </c>
      <c r="B930" s="16" t="s">
        <v>8</v>
      </c>
      <c r="C930" s="15" t="str">
        <f>"20190113111"</f>
        <v>20190113111</v>
      </c>
      <c r="D930" s="17">
        <v>55</v>
      </c>
    </row>
    <row r="931" spans="1:4" ht="21.75" customHeight="1">
      <c r="A931" s="15" t="s">
        <v>39</v>
      </c>
      <c r="B931" s="16" t="s">
        <v>8</v>
      </c>
      <c r="C931" s="15" t="str">
        <f>"20190113112"</f>
        <v>20190113112</v>
      </c>
      <c r="D931" s="17">
        <v>50.5</v>
      </c>
    </row>
    <row r="932" spans="1:4" ht="21.75" customHeight="1">
      <c r="A932" s="15" t="s">
        <v>39</v>
      </c>
      <c r="B932" s="16" t="s">
        <v>8</v>
      </c>
      <c r="C932" s="15" t="str">
        <f>"20190113113"</f>
        <v>20190113113</v>
      </c>
      <c r="D932" s="17">
        <v>66</v>
      </c>
    </row>
    <row r="933" spans="1:4" ht="21.75" customHeight="1">
      <c r="A933" s="15" t="s">
        <v>39</v>
      </c>
      <c r="B933" s="16" t="s">
        <v>8</v>
      </c>
      <c r="C933" s="15" t="str">
        <f>"20190113114"</f>
        <v>20190113114</v>
      </c>
      <c r="D933" s="17" t="s">
        <v>12</v>
      </c>
    </row>
    <row r="934" spans="1:4" ht="21.75" customHeight="1">
      <c r="A934" s="15" t="s">
        <v>39</v>
      </c>
      <c r="B934" s="16" t="s">
        <v>8</v>
      </c>
      <c r="C934" s="15" t="str">
        <f>"20190113115"</f>
        <v>20190113115</v>
      </c>
      <c r="D934" s="17">
        <v>56.5</v>
      </c>
    </row>
    <row r="935" spans="1:4" ht="21.75" customHeight="1">
      <c r="A935" s="15" t="s">
        <v>39</v>
      </c>
      <c r="B935" s="16" t="s">
        <v>8</v>
      </c>
      <c r="C935" s="15" t="str">
        <f>"20190113116"</f>
        <v>20190113116</v>
      </c>
      <c r="D935" s="17" t="s">
        <v>12</v>
      </c>
    </row>
    <row r="936" spans="1:4" ht="21.75" customHeight="1">
      <c r="A936" s="15" t="s">
        <v>39</v>
      </c>
      <c r="B936" s="16" t="s">
        <v>8</v>
      </c>
      <c r="C936" s="15" t="str">
        <f>"20190113117"</f>
        <v>20190113117</v>
      </c>
      <c r="D936" s="17">
        <v>62.5</v>
      </c>
    </row>
    <row r="937" spans="1:4" ht="21.75" customHeight="1">
      <c r="A937" s="15" t="s">
        <v>39</v>
      </c>
      <c r="B937" s="16" t="s">
        <v>8</v>
      </c>
      <c r="C937" s="15" t="str">
        <f>"20190113118"</f>
        <v>20190113118</v>
      </c>
      <c r="D937" s="17">
        <v>55</v>
      </c>
    </row>
    <row r="938" spans="1:4" ht="21.75" customHeight="1">
      <c r="A938" s="15" t="s">
        <v>39</v>
      </c>
      <c r="B938" s="16" t="s">
        <v>8</v>
      </c>
      <c r="C938" s="15" t="str">
        <f>"20190113119"</f>
        <v>20190113119</v>
      </c>
      <c r="D938" s="17" t="s">
        <v>12</v>
      </c>
    </row>
    <row r="939" spans="1:4" ht="21.75" customHeight="1">
      <c r="A939" s="15" t="s">
        <v>39</v>
      </c>
      <c r="B939" s="16" t="s">
        <v>8</v>
      </c>
      <c r="C939" s="15" t="str">
        <f>"20190113120"</f>
        <v>20190113120</v>
      </c>
      <c r="D939" s="17">
        <v>56.5</v>
      </c>
    </row>
    <row r="940" spans="1:4" ht="21.75" customHeight="1">
      <c r="A940" s="15" t="s">
        <v>39</v>
      </c>
      <c r="B940" s="16" t="s">
        <v>8</v>
      </c>
      <c r="C940" s="15" t="str">
        <f>"20190113121"</f>
        <v>20190113121</v>
      </c>
      <c r="D940" s="17">
        <v>59.5</v>
      </c>
    </row>
    <row r="941" spans="1:4" ht="21.75" customHeight="1">
      <c r="A941" s="15" t="s">
        <v>39</v>
      </c>
      <c r="B941" s="16" t="s">
        <v>8</v>
      </c>
      <c r="C941" s="15" t="str">
        <f>"20190113122"</f>
        <v>20190113122</v>
      </c>
      <c r="D941" s="17">
        <v>60</v>
      </c>
    </row>
    <row r="942" spans="1:4" ht="21.75" customHeight="1">
      <c r="A942" s="15" t="s">
        <v>39</v>
      </c>
      <c r="B942" s="16" t="s">
        <v>8</v>
      </c>
      <c r="C942" s="15" t="str">
        <f>"20190113123"</f>
        <v>20190113123</v>
      </c>
      <c r="D942" s="17">
        <v>57</v>
      </c>
    </row>
    <row r="943" spans="1:4" ht="21.75" customHeight="1">
      <c r="A943" s="15" t="s">
        <v>39</v>
      </c>
      <c r="B943" s="16" t="s">
        <v>8</v>
      </c>
      <c r="C943" s="15" t="str">
        <f>"20190113124"</f>
        <v>20190113124</v>
      </c>
      <c r="D943" s="17">
        <v>63</v>
      </c>
    </row>
    <row r="944" spans="1:4" ht="21.75" customHeight="1">
      <c r="A944" s="15" t="s">
        <v>40</v>
      </c>
      <c r="B944" s="16" t="s">
        <v>8</v>
      </c>
      <c r="C944" s="15" t="str">
        <f>"20190113125"</f>
        <v>20190113125</v>
      </c>
      <c r="D944" s="17">
        <v>58.5</v>
      </c>
    </row>
    <row r="945" spans="1:4" ht="21.75" customHeight="1">
      <c r="A945" s="15" t="s">
        <v>40</v>
      </c>
      <c r="B945" s="16" t="s">
        <v>8</v>
      </c>
      <c r="C945" s="15" t="str">
        <f>"20190113126"</f>
        <v>20190113126</v>
      </c>
      <c r="D945" s="17">
        <v>69</v>
      </c>
    </row>
    <row r="946" spans="1:4" ht="21.75" customHeight="1">
      <c r="A946" s="15" t="s">
        <v>40</v>
      </c>
      <c r="B946" s="16" t="s">
        <v>8</v>
      </c>
      <c r="C946" s="15" t="str">
        <f>"20190113127"</f>
        <v>20190113127</v>
      </c>
      <c r="D946" s="17">
        <v>60.5</v>
      </c>
    </row>
    <row r="947" spans="1:4" ht="21.75" customHeight="1">
      <c r="A947" s="15" t="s">
        <v>40</v>
      </c>
      <c r="B947" s="16" t="s">
        <v>8</v>
      </c>
      <c r="C947" s="15" t="str">
        <f>"20190113128"</f>
        <v>20190113128</v>
      </c>
      <c r="D947" s="17">
        <v>55</v>
      </c>
    </row>
    <row r="948" spans="1:4" ht="21.75" customHeight="1">
      <c r="A948" s="15" t="s">
        <v>40</v>
      </c>
      <c r="B948" s="16" t="s">
        <v>8</v>
      </c>
      <c r="C948" s="15" t="str">
        <f>"20190113129"</f>
        <v>20190113129</v>
      </c>
      <c r="D948" s="17">
        <v>60</v>
      </c>
    </row>
    <row r="949" spans="1:4" ht="21.75" customHeight="1">
      <c r="A949" s="15" t="s">
        <v>40</v>
      </c>
      <c r="B949" s="16" t="s">
        <v>8</v>
      </c>
      <c r="C949" s="15" t="str">
        <f>"20190113130"</f>
        <v>20190113130</v>
      </c>
      <c r="D949" s="17">
        <v>67.5</v>
      </c>
    </row>
    <row r="950" spans="1:4" ht="21.75" customHeight="1">
      <c r="A950" s="15" t="s">
        <v>40</v>
      </c>
      <c r="B950" s="16" t="s">
        <v>8</v>
      </c>
      <c r="C950" s="15" t="str">
        <f>"20190113201"</f>
        <v>20190113201</v>
      </c>
      <c r="D950" s="17">
        <v>64.5</v>
      </c>
    </row>
    <row r="951" spans="1:4" ht="21.75" customHeight="1">
      <c r="A951" s="15" t="s">
        <v>40</v>
      </c>
      <c r="B951" s="16" t="s">
        <v>8</v>
      </c>
      <c r="C951" s="15" t="str">
        <f>"20190113202"</f>
        <v>20190113202</v>
      </c>
      <c r="D951" s="17">
        <v>50</v>
      </c>
    </row>
    <row r="952" spans="1:4" ht="21.75" customHeight="1">
      <c r="A952" s="15" t="s">
        <v>40</v>
      </c>
      <c r="B952" s="16" t="s">
        <v>8</v>
      </c>
      <c r="C952" s="15" t="str">
        <f>"20190113203"</f>
        <v>20190113203</v>
      </c>
      <c r="D952" s="17">
        <v>64.5</v>
      </c>
    </row>
    <row r="953" spans="1:4" ht="21.75" customHeight="1">
      <c r="A953" s="15" t="s">
        <v>40</v>
      </c>
      <c r="B953" s="16" t="s">
        <v>8</v>
      </c>
      <c r="C953" s="15" t="str">
        <f>"20190113204"</f>
        <v>20190113204</v>
      </c>
      <c r="D953" s="17">
        <v>59</v>
      </c>
    </row>
    <row r="954" spans="1:4" ht="21.75" customHeight="1">
      <c r="A954" s="15" t="s">
        <v>40</v>
      </c>
      <c r="B954" s="16" t="s">
        <v>8</v>
      </c>
      <c r="C954" s="15" t="str">
        <f>"20190113205"</f>
        <v>20190113205</v>
      </c>
      <c r="D954" s="17">
        <v>57.5</v>
      </c>
    </row>
    <row r="955" spans="1:4" ht="21.75" customHeight="1">
      <c r="A955" s="15" t="s">
        <v>40</v>
      </c>
      <c r="B955" s="16" t="s">
        <v>8</v>
      </c>
      <c r="C955" s="15" t="str">
        <f>"20190113206"</f>
        <v>20190113206</v>
      </c>
      <c r="D955" s="17">
        <v>56.5</v>
      </c>
    </row>
    <row r="956" spans="1:4" ht="21.75" customHeight="1">
      <c r="A956" s="15" t="s">
        <v>40</v>
      </c>
      <c r="B956" s="16" t="s">
        <v>8</v>
      </c>
      <c r="C956" s="15" t="str">
        <f>"20190113207"</f>
        <v>20190113207</v>
      </c>
      <c r="D956" s="17">
        <v>61.5</v>
      </c>
    </row>
    <row r="957" spans="1:4" ht="21.75" customHeight="1">
      <c r="A957" s="15" t="s">
        <v>40</v>
      </c>
      <c r="B957" s="16" t="s">
        <v>8</v>
      </c>
      <c r="C957" s="15" t="str">
        <f>"20190113208"</f>
        <v>20190113208</v>
      </c>
      <c r="D957" s="17">
        <v>54.5</v>
      </c>
    </row>
    <row r="958" spans="1:4" ht="21.75" customHeight="1">
      <c r="A958" s="15" t="s">
        <v>40</v>
      </c>
      <c r="B958" s="16" t="s">
        <v>8</v>
      </c>
      <c r="C958" s="15" t="str">
        <f>"20190113209"</f>
        <v>20190113209</v>
      </c>
      <c r="D958" s="17" t="s">
        <v>12</v>
      </c>
    </row>
    <row r="959" spans="1:4" ht="21.75" customHeight="1">
      <c r="A959" s="15" t="s">
        <v>40</v>
      </c>
      <c r="B959" s="16" t="s">
        <v>8</v>
      </c>
      <c r="C959" s="15" t="str">
        <f>"20190113210"</f>
        <v>20190113210</v>
      </c>
      <c r="D959" s="17" t="s">
        <v>12</v>
      </c>
    </row>
    <row r="960" spans="1:4" ht="21.75" customHeight="1">
      <c r="A960" s="15" t="s">
        <v>40</v>
      </c>
      <c r="B960" s="16" t="s">
        <v>8</v>
      </c>
      <c r="C960" s="15" t="str">
        <f>"20190113211"</f>
        <v>20190113211</v>
      </c>
      <c r="D960" s="17">
        <v>56.5</v>
      </c>
    </row>
    <row r="961" spans="1:5" ht="21.75" customHeight="1">
      <c r="A961" s="15" t="s">
        <v>40</v>
      </c>
      <c r="B961" s="16" t="s">
        <v>8</v>
      </c>
      <c r="C961" s="15" t="str">
        <f>"20190113212"</f>
        <v>20190113212</v>
      </c>
      <c r="D961" s="17">
        <v>77.5</v>
      </c>
      <c r="E961" s="18" t="s">
        <v>9</v>
      </c>
    </row>
    <row r="962" spans="1:4" ht="21.75" customHeight="1">
      <c r="A962" s="15" t="s">
        <v>40</v>
      </c>
      <c r="B962" s="16" t="s">
        <v>8</v>
      </c>
      <c r="C962" s="15" t="str">
        <f>"20190113213"</f>
        <v>20190113213</v>
      </c>
      <c r="D962" s="17">
        <v>63</v>
      </c>
    </row>
    <row r="963" spans="1:4" ht="21.75" customHeight="1">
      <c r="A963" s="15" t="s">
        <v>40</v>
      </c>
      <c r="B963" s="16" t="s">
        <v>8</v>
      </c>
      <c r="C963" s="15" t="str">
        <f>"20190113214"</f>
        <v>20190113214</v>
      </c>
      <c r="D963" s="17">
        <v>54.5</v>
      </c>
    </row>
    <row r="964" spans="1:4" ht="21.75" customHeight="1">
      <c r="A964" s="15" t="s">
        <v>40</v>
      </c>
      <c r="B964" s="16" t="s">
        <v>8</v>
      </c>
      <c r="C964" s="15" t="str">
        <f>"20190113215"</f>
        <v>20190113215</v>
      </c>
      <c r="D964" s="17">
        <v>60</v>
      </c>
    </row>
    <row r="965" spans="1:4" ht="21.75" customHeight="1">
      <c r="A965" s="15" t="s">
        <v>40</v>
      </c>
      <c r="B965" s="16" t="s">
        <v>8</v>
      </c>
      <c r="C965" s="15" t="str">
        <f>"20190113216"</f>
        <v>20190113216</v>
      </c>
      <c r="D965" s="17">
        <v>47.5</v>
      </c>
    </row>
    <row r="966" spans="1:4" ht="21.75" customHeight="1">
      <c r="A966" s="15" t="s">
        <v>40</v>
      </c>
      <c r="B966" s="16" t="s">
        <v>8</v>
      </c>
      <c r="C966" s="15" t="str">
        <f>"20190113217"</f>
        <v>20190113217</v>
      </c>
      <c r="D966" s="17">
        <v>63</v>
      </c>
    </row>
    <row r="967" spans="1:4" ht="21.75" customHeight="1">
      <c r="A967" s="15" t="s">
        <v>40</v>
      </c>
      <c r="B967" s="16" t="s">
        <v>8</v>
      </c>
      <c r="C967" s="15" t="str">
        <f>"20190113218"</f>
        <v>20190113218</v>
      </c>
      <c r="D967" s="17" t="s">
        <v>12</v>
      </c>
    </row>
    <row r="968" spans="1:4" ht="21.75" customHeight="1">
      <c r="A968" s="15" t="s">
        <v>40</v>
      </c>
      <c r="B968" s="16" t="s">
        <v>8</v>
      </c>
      <c r="C968" s="15" t="str">
        <f>"20190113219"</f>
        <v>20190113219</v>
      </c>
      <c r="D968" s="17">
        <v>64.5</v>
      </c>
    </row>
    <row r="969" spans="1:4" ht="21.75" customHeight="1">
      <c r="A969" s="15" t="s">
        <v>40</v>
      </c>
      <c r="B969" s="16" t="s">
        <v>8</v>
      </c>
      <c r="C969" s="15" t="str">
        <f>"20190113220"</f>
        <v>20190113220</v>
      </c>
      <c r="D969" s="17">
        <v>60.5</v>
      </c>
    </row>
    <row r="970" spans="1:4" ht="21.75" customHeight="1">
      <c r="A970" s="15" t="s">
        <v>40</v>
      </c>
      <c r="B970" s="16" t="s">
        <v>8</v>
      </c>
      <c r="C970" s="15" t="str">
        <f>"20190113221"</f>
        <v>20190113221</v>
      </c>
      <c r="D970" s="17">
        <v>67</v>
      </c>
    </row>
    <row r="971" spans="1:4" ht="21.75" customHeight="1">
      <c r="A971" s="15" t="s">
        <v>40</v>
      </c>
      <c r="B971" s="16" t="s">
        <v>8</v>
      </c>
      <c r="C971" s="15" t="str">
        <f>"20190113222"</f>
        <v>20190113222</v>
      </c>
      <c r="D971" s="17">
        <v>70.5</v>
      </c>
    </row>
    <row r="972" spans="1:4" ht="21.75" customHeight="1">
      <c r="A972" s="15" t="s">
        <v>40</v>
      </c>
      <c r="B972" s="16" t="s">
        <v>8</v>
      </c>
      <c r="C972" s="15" t="str">
        <f>"20190113223"</f>
        <v>20190113223</v>
      </c>
      <c r="D972" s="17">
        <v>55</v>
      </c>
    </row>
    <row r="973" spans="1:4" ht="21.75" customHeight="1">
      <c r="A973" s="15" t="s">
        <v>40</v>
      </c>
      <c r="B973" s="16" t="s">
        <v>8</v>
      </c>
      <c r="C973" s="15" t="str">
        <f>"20190113224"</f>
        <v>20190113224</v>
      </c>
      <c r="D973" s="17" t="s">
        <v>12</v>
      </c>
    </row>
    <row r="974" spans="1:4" ht="21.75" customHeight="1">
      <c r="A974" s="15" t="s">
        <v>40</v>
      </c>
      <c r="B974" s="16" t="s">
        <v>8</v>
      </c>
      <c r="C974" s="15" t="str">
        <f>"20190113225"</f>
        <v>20190113225</v>
      </c>
      <c r="D974" s="17">
        <v>62</v>
      </c>
    </row>
    <row r="975" spans="1:4" ht="21.75" customHeight="1">
      <c r="A975" s="15" t="s">
        <v>40</v>
      </c>
      <c r="B975" s="16" t="s">
        <v>8</v>
      </c>
      <c r="C975" s="15" t="str">
        <f>"20190113226"</f>
        <v>20190113226</v>
      </c>
      <c r="D975" s="17" t="s">
        <v>12</v>
      </c>
    </row>
    <row r="976" spans="1:4" ht="21.75" customHeight="1">
      <c r="A976" s="15" t="s">
        <v>40</v>
      </c>
      <c r="B976" s="16" t="s">
        <v>8</v>
      </c>
      <c r="C976" s="15" t="str">
        <f>"20190113227"</f>
        <v>20190113227</v>
      </c>
      <c r="D976" s="17">
        <v>54.5</v>
      </c>
    </row>
    <row r="977" spans="1:4" ht="21.75" customHeight="1">
      <c r="A977" s="15" t="s">
        <v>40</v>
      </c>
      <c r="B977" s="16" t="s">
        <v>8</v>
      </c>
      <c r="C977" s="15" t="str">
        <f>"20190113228"</f>
        <v>20190113228</v>
      </c>
      <c r="D977" s="17">
        <v>52</v>
      </c>
    </row>
    <row r="978" spans="1:4" ht="21.75" customHeight="1">
      <c r="A978" s="15" t="s">
        <v>40</v>
      </c>
      <c r="B978" s="16" t="s">
        <v>8</v>
      </c>
      <c r="C978" s="15" t="str">
        <f>"20190113229"</f>
        <v>20190113229</v>
      </c>
      <c r="D978" s="17">
        <v>63</v>
      </c>
    </row>
    <row r="979" spans="1:4" ht="21.75" customHeight="1">
      <c r="A979" s="15" t="s">
        <v>40</v>
      </c>
      <c r="B979" s="16" t="s">
        <v>8</v>
      </c>
      <c r="C979" s="15" t="str">
        <f>"20190113230"</f>
        <v>20190113230</v>
      </c>
      <c r="D979" s="17">
        <v>54.5</v>
      </c>
    </row>
    <row r="980" spans="1:4" ht="21.75" customHeight="1">
      <c r="A980" s="15" t="s">
        <v>40</v>
      </c>
      <c r="B980" s="16" t="s">
        <v>8</v>
      </c>
      <c r="C980" s="15" t="str">
        <f>"20190113301"</f>
        <v>20190113301</v>
      </c>
      <c r="D980" s="17" t="s">
        <v>12</v>
      </c>
    </row>
    <row r="981" spans="1:4" ht="21.75" customHeight="1">
      <c r="A981" s="15" t="s">
        <v>40</v>
      </c>
      <c r="B981" s="16" t="s">
        <v>8</v>
      </c>
      <c r="C981" s="15" t="str">
        <f>"20190113302"</f>
        <v>20190113302</v>
      </c>
      <c r="D981" s="17" t="s">
        <v>12</v>
      </c>
    </row>
    <row r="982" spans="1:4" ht="21.75" customHeight="1">
      <c r="A982" s="15" t="s">
        <v>40</v>
      </c>
      <c r="B982" s="16" t="s">
        <v>8</v>
      </c>
      <c r="C982" s="15" t="str">
        <f>"20190113303"</f>
        <v>20190113303</v>
      </c>
      <c r="D982" s="17" t="s">
        <v>12</v>
      </c>
    </row>
    <row r="983" spans="1:4" ht="21.75" customHeight="1">
      <c r="A983" s="15" t="s">
        <v>40</v>
      </c>
      <c r="B983" s="16" t="s">
        <v>8</v>
      </c>
      <c r="C983" s="15" t="str">
        <f>"20190113304"</f>
        <v>20190113304</v>
      </c>
      <c r="D983" s="17">
        <v>52</v>
      </c>
    </row>
    <row r="984" spans="1:4" ht="21.75" customHeight="1">
      <c r="A984" s="15" t="s">
        <v>40</v>
      </c>
      <c r="B984" s="16" t="s">
        <v>8</v>
      </c>
      <c r="C984" s="15" t="str">
        <f>"20190113305"</f>
        <v>20190113305</v>
      </c>
      <c r="D984" s="17">
        <v>59</v>
      </c>
    </row>
    <row r="985" spans="1:4" ht="21.75" customHeight="1">
      <c r="A985" s="15" t="s">
        <v>40</v>
      </c>
      <c r="B985" s="16" t="s">
        <v>8</v>
      </c>
      <c r="C985" s="15" t="str">
        <f>"20190113306"</f>
        <v>20190113306</v>
      </c>
      <c r="D985" s="17">
        <v>64</v>
      </c>
    </row>
    <row r="986" spans="1:4" ht="21.75" customHeight="1">
      <c r="A986" s="15" t="s">
        <v>40</v>
      </c>
      <c r="B986" s="16" t="s">
        <v>8</v>
      </c>
      <c r="C986" s="15" t="str">
        <f>"20190113307"</f>
        <v>20190113307</v>
      </c>
      <c r="D986" s="17">
        <v>63</v>
      </c>
    </row>
    <row r="987" spans="1:4" ht="21.75" customHeight="1">
      <c r="A987" s="15" t="s">
        <v>40</v>
      </c>
      <c r="B987" s="16" t="s">
        <v>8</v>
      </c>
      <c r="C987" s="15" t="str">
        <f>"20190113308"</f>
        <v>20190113308</v>
      </c>
      <c r="D987" s="17">
        <v>57</v>
      </c>
    </row>
    <row r="988" spans="1:4" ht="21.75" customHeight="1">
      <c r="A988" s="15" t="s">
        <v>40</v>
      </c>
      <c r="B988" s="16" t="s">
        <v>8</v>
      </c>
      <c r="C988" s="15" t="str">
        <f>"20190113309"</f>
        <v>20190113309</v>
      </c>
      <c r="D988" s="17" t="s">
        <v>12</v>
      </c>
    </row>
    <row r="989" spans="1:4" ht="21.75" customHeight="1">
      <c r="A989" s="15" t="s">
        <v>40</v>
      </c>
      <c r="B989" s="16" t="s">
        <v>8</v>
      </c>
      <c r="C989" s="15" t="str">
        <f>"20190113310"</f>
        <v>20190113310</v>
      </c>
      <c r="D989" s="17">
        <v>50.5</v>
      </c>
    </row>
    <row r="990" spans="1:4" ht="21.75" customHeight="1">
      <c r="A990" s="15" t="s">
        <v>40</v>
      </c>
      <c r="B990" s="16" t="s">
        <v>8</v>
      </c>
      <c r="C990" s="15" t="str">
        <f>"20190113311"</f>
        <v>20190113311</v>
      </c>
      <c r="D990" s="17">
        <v>60</v>
      </c>
    </row>
    <row r="991" spans="1:4" ht="21.75" customHeight="1">
      <c r="A991" s="15" t="s">
        <v>40</v>
      </c>
      <c r="B991" s="16" t="s">
        <v>8</v>
      </c>
      <c r="C991" s="15" t="str">
        <f>"20190113312"</f>
        <v>20190113312</v>
      </c>
      <c r="D991" s="17">
        <v>57</v>
      </c>
    </row>
    <row r="992" spans="1:4" ht="21.75" customHeight="1">
      <c r="A992" s="15" t="s">
        <v>40</v>
      </c>
      <c r="B992" s="16" t="s">
        <v>8</v>
      </c>
      <c r="C992" s="15" t="str">
        <f>"20190113313"</f>
        <v>20190113313</v>
      </c>
      <c r="D992" s="17">
        <v>62</v>
      </c>
    </row>
    <row r="993" spans="1:4" ht="21.75" customHeight="1">
      <c r="A993" s="15" t="s">
        <v>40</v>
      </c>
      <c r="B993" s="16" t="s">
        <v>8</v>
      </c>
      <c r="C993" s="15" t="str">
        <f>"20190113314"</f>
        <v>20190113314</v>
      </c>
      <c r="D993" s="17">
        <v>49</v>
      </c>
    </row>
    <row r="994" spans="1:4" ht="21.75" customHeight="1">
      <c r="A994" s="15" t="s">
        <v>40</v>
      </c>
      <c r="B994" s="16" t="s">
        <v>8</v>
      </c>
      <c r="C994" s="15" t="str">
        <f>"20190113315"</f>
        <v>20190113315</v>
      </c>
      <c r="D994" s="17">
        <v>58.5</v>
      </c>
    </row>
    <row r="995" spans="1:4" ht="21.75" customHeight="1">
      <c r="A995" s="15" t="s">
        <v>40</v>
      </c>
      <c r="B995" s="16" t="s">
        <v>8</v>
      </c>
      <c r="C995" s="15" t="str">
        <f>"20190113316"</f>
        <v>20190113316</v>
      </c>
      <c r="D995" s="17">
        <v>64</v>
      </c>
    </row>
    <row r="996" spans="1:5" ht="21.75" customHeight="1">
      <c r="A996" s="15" t="s">
        <v>40</v>
      </c>
      <c r="B996" s="16" t="s">
        <v>8</v>
      </c>
      <c r="C996" s="15" t="str">
        <f>"20190113317"</f>
        <v>20190113317</v>
      </c>
      <c r="D996" s="17">
        <v>58.5</v>
      </c>
      <c r="E996" s="19"/>
    </row>
    <row r="997" spans="1:5" ht="21.75" customHeight="1">
      <c r="A997" s="15" t="s">
        <v>40</v>
      </c>
      <c r="B997" s="16" t="s">
        <v>8</v>
      </c>
      <c r="C997" s="15" t="str">
        <f>"20190113318"</f>
        <v>20190113318</v>
      </c>
      <c r="D997" s="17">
        <v>62</v>
      </c>
      <c r="E997" s="19"/>
    </row>
    <row r="998" spans="1:5" ht="21.75" customHeight="1">
      <c r="A998" s="15" t="s">
        <v>40</v>
      </c>
      <c r="B998" s="16" t="s">
        <v>8</v>
      </c>
      <c r="C998" s="15" t="str">
        <f>"20190113319"</f>
        <v>20190113319</v>
      </c>
      <c r="D998" s="17">
        <v>56</v>
      </c>
      <c r="E998" s="19"/>
    </row>
    <row r="999" spans="1:5" ht="21.75" customHeight="1">
      <c r="A999" s="15" t="s">
        <v>40</v>
      </c>
      <c r="B999" s="16" t="s">
        <v>8</v>
      </c>
      <c r="C999" s="15" t="str">
        <f>"20190113320"</f>
        <v>20190113320</v>
      </c>
      <c r="D999" s="17">
        <v>55.5</v>
      </c>
      <c r="E999" s="19"/>
    </row>
    <row r="1000" spans="1:4" ht="21.75" customHeight="1">
      <c r="A1000" s="15" t="s">
        <v>40</v>
      </c>
      <c r="B1000" s="16" t="s">
        <v>8</v>
      </c>
      <c r="C1000" s="15" t="str">
        <f>"20190113321"</f>
        <v>20190113321</v>
      </c>
      <c r="D1000" s="17">
        <v>49.5</v>
      </c>
    </row>
    <row r="1001" spans="1:4" ht="21.75" customHeight="1">
      <c r="A1001" s="15" t="s">
        <v>40</v>
      </c>
      <c r="B1001" s="16" t="s">
        <v>8</v>
      </c>
      <c r="C1001" s="15" t="str">
        <f>"20190113322"</f>
        <v>20190113322</v>
      </c>
      <c r="D1001" s="17">
        <v>61.5</v>
      </c>
    </row>
    <row r="1002" spans="1:4" ht="21.75" customHeight="1">
      <c r="A1002" s="15" t="s">
        <v>40</v>
      </c>
      <c r="B1002" s="16" t="s">
        <v>8</v>
      </c>
      <c r="C1002" s="15" t="str">
        <f>"20190113323"</f>
        <v>20190113323</v>
      </c>
      <c r="D1002" s="17">
        <v>65.5</v>
      </c>
    </row>
    <row r="1003" spans="1:4" ht="21.75" customHeight="1">
      <c r="A1003" s="15" t="s">
        <v>40</v>
      </c>
      <c r="B1003" s="16" t="s">
        <v>8</v>
      </c>
      <c r="C1003" s="15" t="str">
        <f>"20190113324"</f>
        <v>20190113324</v>
      </c>
      <c r="D1003" s="17">
        <v>66.5</v>
      </c>
    </row>
    <row r="1004" spans="1:4" ht="21.75" customHeight="1">
      <c r="A1004" s="15" t="s">
        <v>40</v>
      </c>
      <c r="B1004" s="16" t="s">
        <v>8</v>
      </c>
      <c r="C1004" s="15" t="str">
        <f>"20190113325"</f>
        <v>20190113325</v>
      </c>
      <c r="D1004" s="17">
        <v>58</v>
      </c>
    </row>
    <row r="1005" spans="1:4" ht="21.75" customHeight="1">
      <c r="A1005" s="15" t="s">
        <v>40</v>
      </c>
      <c r="B1005" s="16" t="s">
        <v>8</v>
      </c>
      <c r="C1005" s="15" t="str">
        <f>"20190113326"</f>
        <v>20190113326</v>
      </c>
      <c r="D1005" s="17" t="s">
        <v>12</v>
      </c>
    </row>
    <row r="1006" spans="1:4" ht="21.75" customHeight="1">
      <c r="A1006" s="15" t="s">
        <v>40</v>
      </c>
      <c r="B1006" s="16" t="s">
        <v>8</v>
      </c>
      <c r="C1006" s="15" t="str">
        <f>"20190113327"</f>
        <v>20190113327</v>
      </c>
      <c r="D1006" s="17">
        <v>59.5</v>
      </c>
    </row>
    <row r="1007" spans="1:4" ht="21.75" customHeight="1">
      <c r="A1007" s="15" t="s">
        <v>40</v>
      </c>
      <c r="B1007" s="16" t="s">
        <v>8</v>
      </c>
      <c r="C1007" s="15" t="str">
        <f>"20190113328"</f>
        <v>20190113328</v>
      </c>
      <c r="D1007" s="17">
        <v>62</v>
      </c>
    </row>
    <row r="1008" spans="1:4" ht="21.75" customHeight="1">
      <c r="A1008" s="15" t="s">
        <v>40</v>
      </c>
      <c r="B1008" s="16" t="s">
        <v>8</v>
      </c>
      <c r="C1008" s="15" t="str">
        <f>"20190113329"</f>
        <v>20190113329</v>
      </c>
      <c r="D1008" s="17">
        <v>56.5</v>
      </c>
    </row>
    <row r="1009" spans="1:4" ht="21.75" customHeight="1">
      <c r="A1009" s="15" t="s">
        <v>40</v>
      </c>
      <c r="B1009" s="16" t="s">
        <v>8</v>
      </c>
      <c r="C1009" s="15" t="str">
        <f>"20190113330"</f>
        <v>20190113330</v>
      </c>
      <c r="D1009" s="17">
        <v>62</v>
      </c>
    </row>
    <row r="1010" spans="1:4" ht="21.75" customHeight="1">
      <c r="A1010" s="15" t="s">
        <v>40</v>
      </c>
      <c r="B1010" s="16" t="s">
        <v>8</v>
      </c>
      <c r="C1010" s="15" t="str">
        <f>"20190113401"</f>
        <v>20190113401</v>
      </c>
      <c r="D1010" s="17">
        <v>47.5</v>
      </c>
    </row>
    <row r="1011" spans="1:4" ht="21.75" customHeight="1">
      <c r="A1011" s="15" t="s">
        <v>40</v>
      </c>
      <c r="B1011" s="16" t="s">
        <v>8</v>
      </c>
      <c r="C1011" s="15" t="str">
        <f>"20190113402"</f>
        <v>20190113402</v>
      </c>
      <c r="D1011" s="17">
        <v>52.5</v>
      </c>
    </row>
    <row r="1012" spans="1:4" ht="21.75" customHeight="1">
      <c r="A1012" s="15" t="s">
        <v>40</v>
      </c>
      <c r="B1012" s="16" t="s">
        <v>8</v>
      </c>
      <c r="C1012" s="15" t="str">
        <f>"20190113403"</f>
        <v>20190113403</v>
      </c>
      <c r="D1012" s="17">
        <v>60</v>
      </c>
    </row>
    <row r="1013" spans="1:4" ht="21.75" customHeight="1">
      <c r="A1013" s="15" t="s">
        <v>40</v>
      </c>
      <c r="B1013" s="16" t="s">
        <v>8</v>
      </c>
      <c r="C1013" s="15" t="str">
        <f>"20190113404"</f>
        <v>20190113404</v>
      </c>
      <c r="D1013" s="17">
        <v>50.5</v>
      </c>
    </row>
    <row r="1014" spans="1:4" ht="21.75" customHeight="1">
      <c r="A1014" s="15" t="s">
        <v>40</v>
      </c>
      <c r="B1014" s="16" t="s">
        <v>8</v>
      </c>
      <c r="C1014" s="15" t="str">
        <f>"20190113405"</f>
        <v>20190113405</v>
      </c>
      <c r="D1014" s="17">
        <v>64</v>
      </c>
    </row>
    <row r="1015" spans="1:5" ht="21.75" customHeight="1">
      <c r="A1015" s="15" t="s">
        <v>40</v>
      </c>
      <c r="B1015" s="16" t="s">
        <v>8</v>
      </c>
      <c r="C1015" s="15" t="str">
        <f>"20190113406"</f>
        <v>20190113406</v>
      </c>
      <c r="D1015" s="17">
        <v>60.5</v>
      </c>
      <c r="E1015" s="19"/>
    </row>
    <row r="1016" spans="1:5" ht="21.75" customHeight="1">
      <c r="A1016" s="15" t="s">
        <v>40</v>
      </c>
      <c r="B1016" s="16" t="s">
        <v>8</v>
      </c>
      <c r="C1016" s="15" t="str">
        <f>"20190113407"</f>
        <v>20190113407</v>
      </c>
      <c r="D1016" s="17">
        <v>62.5</v>
      </c>
      <c r="E1016" s="19"/>
    </row>
    <row r="1017" spans="1:5" ht="21.75" customHeight="1">
      <c r="A1017" s="15" t="s">
        <v>40</v>
      </c>
      <c r="B1017" s="16" t="s">
        <v>8</v>
      </c>
      <c r="C1017" s="15" t="str">
        <f>"20190113408"</f>
        <v>20190113408</v>
      </c>
      <c r="D1017" s="17">
        <v>60</v>
      </c>
      <c r="E1017" s="19"/>
    </row>
    <row r="1018" spans="1:4" ht="21.75" customHeight="1">
      <c r="A1018" s="15" t="s">
        <v>40</v>
      </c>
      <c r="B1018" s="16" t="s">
        <v>8</v>
      </c>
      <c r="C1018" s="15" t="str">
        <f>"20190113409"</f>
        <v>20190113409</v>
      </c>
      <c r="D1018" s="17" t="s">
        <v>12</v>
      </c>
    </row>
    <row r="1019" spans="1:4" ht="21.75" customHeight="1">
      <c r="A1019" s="15" t="s">
        <v>40</v>
      </c>
      <c r="B1019" s="16" t="s">
        <v>8</v>
      </c>
      <c r="C1019" s="15" t="str">
        <f>"20190113410"</f>
        <v>20190113410</v>
      </c>
      <c r="D1019" s="17">
        <v>60</v>
      </c>
    </row>
    <row r="1020" spans="1:4" ht="21.75" customHeight="1">
      <c r="A1020" s="15" t="s">
        <v>40</v>
      </c>
      <c r="B1020" s="16" t="s">
        <v>8</v>
      </c>
      <c r="C1020" s="15" t="str">
        <f>"20190113411"</f>
        <v>20190113411</v>
      </c>
      <c r="D1020" s="17">
        <v>67.5</v>
      </c>
    </row>
    <row r="1021" spans="1:4" ht="21.75" customHeight="1">
      <c r="A1021" s="15" t="s">
        <v>40</v>
      </c>
      <c r="B1021" s="16" t="s">
        <v>8</v>
      </c>
      <c r="C1021" s="15" t="str">
        <f>"20190113412"</f>
        <v>20190113412</v>
      </c>
      <c r="D1021" s="17">
        <v>69.5</v>
      </c>
    </row>
    <row r="1022" spans="1:4" ht="21.75" customHeight="1">
      <c r="A1022" s="15" t="s">
        <v>40</v>
      </c>
      <c r="B1022" s="16" t="s">
        <v>8</v>
      </c>
      <c r="C1022" s="15" t="str">
        <f>"20190113413"</f>
        <v>20190113413</v>
      </c>
      <c r="D1022" s="17">
        <v>65.5</v>
      </c>
    </row>
    <row r="1023" spans="1:4" ht="21.75" customHeight="1">
      <c r="A1023" s="15" t="s">
        <v>40</v>
      </c>
      <c r="B1023" s="16" t="s">
        <v>8</v>
      </c>
      <c r="C1023" s="15" t="str">
        <f>"20190113414"</f>
        <v>20190113414</v>
      </c>
      <c r="D1023" s="17">
        <v>63</v>
      </c>
    </row>
    <row r="1024" spans="1:4" ht="21.75" customHeight="1">
      <c r="A1024" s="15" t="s">
        <v>40</v>
      </c>
      <c r="B1024" s="16" t="s">
        <v>8</v>
      </c>
      <c r="C1024" s="15" t="str">
        <f>"20190113415"</f>
        <v>20190113415</v>
      </c>
      <c r="D1024" s="17">
        <v>61.5</v>
      </c>
    </row>
    <row r="1025" spans="1:4" ht="21.75" customHeight="1">
      <c r="A1025" s="15" t="s">
        <v>40</v>
      </c>
      <c r="B1025" s="16" t="s">
        <v>8</v>
      </c>
      <c r="C1025" s="15" t="str">
        <f>"20190113416"</f>
        <v>20190113416</v>
      </c>
      <c r="D1025" s="17" t="s">
        <v>12</v>
      </c>
    </row>
    <row r="1026" spans="1:4" ht="21.75" customHeight="1">
      <c r="A1026" s="15" t="s">
        <v>40</v>
      </c>
      <c r="B1026" s="16" t="s">
        <v>8</v>
      </c>
      <c r="C1026" s="15" t="str">
        <f>"20190113417"</f>
        <v>20190113417</v>
      </c>
      <c r="D1026" s="17">
        <v>61</v>
      </c>
    </row>
    <row r="1027" spans="1:4" ht="21.75" customHeight="1">
      <c r="A1027" s="15" t="s">
        <v>40</v>
      </c>
      <c r="B1027" s="16" t="s">
        <v>8</v>
      </c>
      <c r="C1027" s="15" t="str">
        <f>"20190113418"</f>
        <v>20190113418</v>
      </c>
      <c r="D1027" s="17">
        <v>56.5</v>
      </c>
    </row>
    <row r="1028" spans="1:4" ht="21.75" customHeight="1">
      <c r="A1028" s="15" t="s">
        <v>40</v>
      </c>
      <c r="B1028" s="16" t="s">
        <v>8</v>
      </c>
      <c r="C1028" s="15" t="str">
        <f>"20190113419"</f>
        <v>20190113419</v>
      </c>
      <c r="D1028" s="17" t="s">
        <v>12</v>
      </c>
    </row>
    <row r="1029" spans="1:4" ht="21.75" customHeight="1">
      <c r="A1029" s="15" t="s">
        <v>40</v>
      </c>
      <c r="B1029" s="16" t="s">
        <v>8</v>
      </c>
      <c r="C1029" s="15" t="str">
        <f>"20190113420"</f>
        <v>20190113420</v>
      </c>
      <c r="D1029" s="17">
        <v>49.5</v>
      </c>
    </row>
    <row r="1030" spans="1:4" ht="21.75" customHeight="1">
      <c r="A1030" s="15" t="s">
        <v>40</v>
      </c>
      <c r="B1030" s="16" t="s">
        <v>8</v>
      </c>
      <c r="C1030" s="15" t="str">
        <f>"20190113421"</f>
        <v>20190113421</v>
      </c>
      <c r="D1030" s="17">
        <v>55.5</v>
      </c>
    </row>
    <row r="1031" spans="1:4" ht="21.75" customHeight="1">
      <c r="A1031" s="15" t="s">
        <v>40</v>
      </c>
      <c r="B1031" s="16" t="s">
        <v>8</v>
      </c>
      <c r="C1031" s="15" t="str">
        <f>"20190113422"</f>
        <v>20190113422</v>
      </c>
      <c r="D1031" s="17">
        <v>66.5</v>
      </c>
    </row>
    <row r="1032" spans="1:4" ht="21.75" customHeight="1">
      <c r="A1032" s="15" t="s">
        <v>40</v>
      </c>
      <c r="B1032" s="16" t="s">
        <v>8</v>
      </c>
      <c r="C1032" s="15" t="str">
        <f>"20190113423"</f>
        <v>20190113423</v>
      </c>
      <c r="D1032" s="17">
        <v>55.5</v>
      </c>
    </row>
    <row r="1033" spans="1:4" ht="21.75" customHeight="1">
      <c r="A1033" s="15" t="s">
        <v>40</v>
      </c>
      <c r="B1033" s="16" t="s">
        <v>8</v>
      </c>
      <c r="C1033" s="15" t="str">
        <f>"20190113424"</f>
        <v>20190113424</v>
      </c>
      <c r="D1033" s="17" t="s">
        <v>12</v>
      </c>
    </row>
    <row r="1034" spans="1:4" ht="21.75" customHeight="1">
      <c r="A1034" s="15" t="s">
        <v>40</v>
      </c>
      <c r="B1034" s="16" t="s">
        <v>8</v>
      </c>
      <c r="C1034" s="15" t="str">
        <f>"20190113425"</f>
        <v>20190113425</v>
      </c>
      <c r="D1034" s="17" t="s">
        <v>12</v>
      </c>
    </row>
    <row r="1035" spans="1:4" ht="21.75" customHeight="1">
      <c r="A1035" s="15" t="s">
        <v>40</v>
      </c>
      <c r="B1035" s="16" t="s">
        <v>8</v>
      </c>
      <c r="C1035" s="15" t="str">
        <f>"20190113426"</f>
        <v>20190113426</v>
      </c>
      <c r="D1035" s="17" t="s">
        <v>12</v>
      </c>
    </row>
    <row r="1036" spans="1:4" ht="21.75" customHeight="1">
      <c r="A1036" s="15" t="s">
        <v>40</v>
      </c>
      <c r="B1036" s="16" t="s">
        <v>8</v>
      </c>
      <c r="C1036" s="15" t="str">
        <f>"20190113427"</f>
        <v>20190113427</v>
      </c>
      <c r="D1036" s="17" t="s">
        <v>12</v>
      </c>
    </row>
    <row r="1037" spans="1:4" ht="21.75" customHeight="1">
      <c r="A1037" s="15" t="s">
        <v>40</v>
      </c>
      <c r="B1037" s="16" t="s">
        <v>8</v>
      </c>
      <c r="C1037" s="15" t="str">
        <f>"20190113428"</f>
        <v>20190113428</v>
      </c>
      <c r="D1037" s="17">
        <v>55</v>
      </c>
    </row>
    <row r="1038" spans="1:5" ht="21.75" customHeight="1">
      <c r="A1038" s="15" t="s">
        <v>40</v>
      </c>
      <c r="B1038" s="16" t="s">
        <v>8</v>
      </c>
      <c r="C1038" s="15" t="str">
        <f>"20190113429"</f>
        <v>20190113429</v>
      </c>
      <c r="D1038" s="17">
        <v>74</v>
      </c>
      <c r="E1038" s="18" t="s">
        <v>9</v>
      </c>
    </row>
    <row r="1039" spans="1:4" ht="21.75" customHeight="1">
      <c r="A1039" s="15" t="s">
        <v>40</v>
      </c>
      <c r="B1039" s="16" t="s">
        <v>8</v>
      </c>
      <c r="C1039" s="15" t="str">
        <f>"20190113430"</f>
        <v>20190113430</v>
      </c>
      <c r="D1039" s="17">
        <v>69</v>
      </c>
    </row>
    <row r="1040" spans="1:4" ht="21.75" customHeight="1">
      <c r="A1040" s="15" t="s">
        <v>40</v>
      </c>
      <c r="B1040" s="16" t="s">
        <v>8</v>
      </c>
      <c r="C1040" s="15" t="str">
        <f>"20190113501"</f>
        <v>20190113501</v>
      </c>
      <c r="D1040" s="17" t="s">
        <v>12</v>
      </c>
    </row>
    <row r="1041" spans="1:5" ht="21.75" customHeight="1">
      <c r="A1041" s="15" t="s">
        <v>40</v>
      </c>
      <c r="B1041" s="16" t="s">
        <v>8</v>
      </c>
      <c r="C1041" s="15" t="str">
        <f>"20190113502"</f>
        <v>20190113502</v>
      </c>
      <c r="D1041" s="17">
        <v>72</v>
      </c>
      <c r="E1041" s="18" t="s">
        <v>9</v>
      </c>
    </row>
    <row r="1042" spans="1:4" ht="21.75" customHeight="1">
      <c r="A1042" s="15" t="s">
        <v>40</v>
      </c>
      <c r="B1042" s="16" t="s">
        <v>8</v>
      </c>
      <c r="C1042" s="15" t="str">
        <f>"20190113503"</f>
        <v>20190113503</v>
      </c>
      <c r="D1042" s="17">
        <v>55.5</v>
      </c>
    </row>
    <row r="1043" spans="1:4" ht="21.75" customHeight="1">
      <c r="A1043" s="15" t="s">
        <v>40</v>
      </c>
      <c r="B1043" s="16" t="s">
        <v>8</v>
      </c>
      <c r="C1043" s="15" t="str">
        <f>"20190113504"</f>
        <v>20190113504</v>
      </c>
      <c r="D1043" s="17">
        <v>62</v>
      </c>
    </row>
    <row r="1044" spans="1:4" ht="21.75" customHeight="1">
      <c r="A1044" s="15" t="s">
        <v>40</v>
      </c>
      <c r="B1044" s="16" t="s">
        <v>8</v>
      </c>
      <c r="C1044" s="15" t="str">
        <f>"20190113505"</f>
        <v>20190113505</v>
      </c>
      <c r="D1044" s="17">
        <v>61.5</v>
      </c>
    </row>
    <row r="1045" spans="1:4" ht="21.75" customHeight="1">
      <c r="A1045" s="15" t="s">
        <v>40</v>
      </c>
      <c r="B1045" s="16" t="s">
        <v>8</v>
      </c>
      <c r="C1045" s="15" t="str">
        <f>"20190113506"</f>
        <v>20190113506</v>
      </c>
      <c r="D1045" s="17" t="s">
        <v>12</v>
      </c>
    </row>
    <row r="1046" spans="1:4" ht="21.75" customHeight="1">
      <c r="A1046" s="15" t="s">
        <v>40</v>
      </c>
      <c r="B1046" s="16" t="s">
        <v>8</v>
      </c>
      <c r="C1046" s="15" t="str">
        <f>"20190113507"</f>
        <v>20190113507</v>
      </c>
      <c r="D1046" s="17">
        <v>61.5</v>
      </c>
    </row>
    <row r="1047" spans="1:4" ht="21.75" customHeight="1">
      <c r="A1047" s="15" t="s">
        <v>40</v>
      </c>
      <c r="B1047" s="16" t="s">
        <v>8</v>
      </c>
      <c r="C1047" s="15" t="str">
        <f>"20190113508"</f>
        <v>20190113508</v>
      </c>
      <c r="D1047" s="17">
        <v>46</v>
      </c>
    </row>
    <row r="1048" spans="1:4" ht="21.75" customHeight="1">
      <c r="A1048" s="15" t="s">
        <v>40</v>
      </c>
      <c r="B1048" s="16" t="s">
        <v>8</v>
      </c>
      <c r="C1048" s="15" t="str">
        <f>"20190113509"</f>
        <v>20190113509</v>
      </c>
      <c r="D1048" s="17">
        <v>54.5</v>
      </c>
    </row>
    <row r="1049" spans="1:4" ht="21.75" customHeight="1">
      <c r="A1049" s="15" t="s">
        <v>40</v>
      </c>
      <c r="B1049" s="16" t="s">
        <v>8</v>
      </c>
      <c r="C1049" s="15" t="str">
        <f>"20190113510"</f>
        <v>20190113510</v>
      </c>
      <c r="D1049" s="17" t="s">
        <v>12</v>
      </c>
    </row>
    <row r="1050" spans="1:4" ht="21.75" customHeight="1">
      <c r="A1050" s="15" t="s">
        <v>40</v>
      </c>
      <c r="B1050" s="16" t="s">
        <v>8</v>
      </c>
      <c r="C1050" s="15" t="str">
        <f>"20190113511"</f>
        <v>20190113511</v>
      </c>
      <c r="D1050" s="17">
        <v>59.5</v>
      </c>
    </row>
    <row r="1051" spans="1:5" ht="21.75" customHeight="1">
      <c r="A1051" s="15" t="s">
        <v>40</v>
      </c>
      <c r="B1051" s="16" t="s">
        <v>8</v>
      </c>
      <c r="C1051" s="15" t="str">
        <f>"20190113512"</f>
        <v>20190113512</v>
      </c>
      <c r="D1051" s="17" t="s">
        <v>12</v>
      </c>
      <c r="E1051" s="19"/>
    </row>
    <row r="1052" spans="1:5" ht="21.75" customHeight="1">
      <c r="A1052" s="15" t="s">
        <v>40</v>
      </c>
      <c r="B1052" s="16" t="s">
        <v>8</v>
      </c>
      <c r="C1052" s="15" t="str">
        <f>"20190113513"</f>
        <v>20190113513</v>
      </c>
      <c r="D1052" s="17">
        <v>71.5</v>
      </c>
      <c r="E1052" s="19"/>
    </row>
    <row r="1053" spans="1:5" ht="21.75" customHeight="1">
      <c r="A1053" s="15" t="s">
        <v>40</v>
      </c>
      <c r="B1053" s="16" t="s">
        <v>8</v>
      </c>
      <c r="C1053" s="15" t="str">
        <f>"20190113514"</f>
        <v>20190113514</v>
      </c>
      <c r="D1053" s="17">
        <v>54</v>
      </c>
      <c r="E1053" s="19"/>
    </row>
    <row r="1054" spans="1:4" ht="21.75" customHeight="1">
      <c r="A1054" s="15" t="s">
        <v>40</v>
      </c>
      <c r="B1054" s="16" t="s">
        <v>8</v>
      </c>
      <c r="C1054" s="15" t="str">
        <f>"20190113515"</f>
        <v>20190113515</v>
      </c>
      <c r="D1054" s="17">
        <v>58.5</v>
      </c>
    </row>
    <row r="1055" spans="1:4" ht="21.75" customHeight="1">
      <c r="A1055" s="15" t="s">
        <v>40</v>
      </c>
      <c r="B1055" s="16" t="s">
        <v>8</v>
      </c>
      <c r="C1055" s="15" t="str">
        <f>"20190113516"</f>
        <v>20190113516</v>
      </c>
      <c r="D1055" s="17">
        <v>54.5</v>
      </c>
    </row>
    <row r="1056" spans="1:4" ht="21.75" customHeight="1">
      <c r="A1056" s="15" t="s">
        <v>40</v>
      </c>
      <c r="B1056" s="16" t="s">
        <v>8</v>
      </c>
      <c r="C1056" s="15" t="str">
        <f>"20190113517"</f>
        <v>20190113517</v>
      </c>
      <c r="D1056" s="17" t="s">
        <v>12</v>
      </c>
    </row>
    <row r="1057" spans="1:4" ht="21.75" customHeight="1">
      <c r="A1057" s="15" t="s">
        <v>40</v>
      </c>
      <c r="B1057" s="16" t="s">
        <v>8</v>
      </c>
      <c r="C1057" s="15" t="str">
        <f>"20190113518"</f>
        <v>20190113518</v>
      </c>
      <c r="D1057" s="17">
        <v>57.5</v>
      </c>
    </row>
    <row r="1058" spans="1:4" ht="21.75" customHeight="1">
      <c r="A1058" s="15" t="s">
        <v>40</v>
      </c>
      <c r="B1058" s="16" t="s">
        <v>8</v>
      </c>
      <c r="C1058" s="15" t="str">
        <f>"20190113519"</f>
        <v>20190113519</v>
      </c>
      <c r="D1058" s="17">
        <v>57</v>
      </c>
    </row>
    <row r="1059" spans="1:4" ht="21.75" customHeight="1">
      <c r="A1059" s="15" t="s">
        <v>40</v>
      </c>
      <c r="B1059" s="16" t="s">
        <v>8</v>
      </c>
      <c r="C1059" s="15" t="str">
        <f>"20190113520"</f>
        <v>20190113520</v>
      </c>
      <c r="D1059" s="17">
        <v>61</v>
      </c>
    </row>
    <row r="1060" spans="1:4" ht="21.75" customHeight="1">
      <c r="A1060" s="15" t="s">
        <v>40</v>
      </c>
      <c r="B1060" s="16" t="s">
        <v>8</v>
      </c>
      <c r="C1060" s="15" t="str">
        <f>"20190113521"</f>
        <v>20190113521</v>
      </c>
      <c r="D1060" s="17">
        <v>58.5</v>
      </c>
    </row>
    <row r="1061" spans="1:4" ht="21.75" customHeight="1">
      <c r="A1061" s="15" t="s">
        <v>40</v>
      </c>
      <c r="B1061" s="16" t="s">
        <v>8</v>
      </c>
      <c r="C1061" s="15" t="str">
        <f>"20190113522"</f>
        <v>20190113522</v>
      </c>
      <c r="D1061" s="17" t="s">
        <v>12</v>
      </c>
    </row>
    <row r="1062" spans="1:4" ht="21.75" customHeight="1">
      <c r="A1062" s="15" t="s">
        <v>40</v>
      </c>
      <c r="B1062" s="16" t="s">
        <v>8</v>
      </c>
      <c r="C1062" s="15" t="str">
        <f>"20190113523"</f>
        <v>20190113523</v>
      </c>
      <c r="D1062" s="17">
        <v>52</v>
      </c>
    </row>
    <row r="1063" spans="1:4" ht="21.75" customHeight="1">
      <c r="A1063" s="15" t="s">
        <v>40</v>
      </c>
      <c r="B1063" s="16" t="s">
        <v>8</v>
      </c>
      <c r="C1063" s="15" t="str">
        <f>"20190113524"</f>
        <v>20190113524</v>
      </c>
      <c r="D1063" s="17" t="s">
        <v>12</v>
      </c>
    </row>
    <row r="1064" spans="1:4" ht="21.75" customHeight="1">
      <c r="A1064" s="15" t="s">
        <v>40</v>
      </c>
      <c r="B1064" s="16" t="s">
        <v>8</v>
      </c>
      <c r="C1064" s="15" t="str">
        <f>"20190113525"</f>
        <v>20190113525</v>
      </c>
      <c r="D1064" s="17">
        <v>59</v>
      </c>
    </row>
    <row r="1065" spans="1:4" ht="21.75" customHeight="1">
      <c r="A1065" s="15" t="s">
        <v>40</v>
      </c>
      <c r="B1065" s="16" t="s">
        <v>8</v>
      </c>
      <c r="C1065" s="15" t="str">
        <f>"20190113526"</f>
        <v>20190113526</v>
      </c>
      <c r="D1065" s="17">
        <v>69</v>
      </c>
    </row>
    <row r="1066" spans="1:4" ht="21.75" customHeight="1">
      <c r="A1066" s="15" t="s">
        <v>40</v>
      </c>
      <c r="B1066" s="16" t="s">
        <v>8</v>
      </c>
      <c r="C1066" s="15" t="str">
        <f>"20190113527"</f>
        <v>20190113527</v>
      </c>
      <c r="D1066" s="17" t="s">
        <v>12</v>
      </c>
    </row>
    <row r="1067" spans="1:4" ht="21.75" customHeight="1">
      <c r="A1067" s="15" t="s">
        <v>40</v>
      </c>
      <c r="B1067" s="16" t="s">
        <v>8</v>
      </c>
      <c r="C1067" s="15" t="str">
        <f>"20190113528"</f>
        <v>20190113528</v>
      </c>
      <c r="D1067" s="17">
        <v>57</v>
      </c>
    </row>
    <row r="1068" spans="1:4" ht="21.75" customHeight="1">
      <c r="A1068" s="15" t="s">
        <v>40</v>
      </c>
      <c r="B1068" s="16" t="s">
        <v>8</v>
      </c>
      <c r="C1068" s="15" t="str">
        <f>"20190113529"</f>
        <v>20190113529</v>
      </c>
      <c r="D1068" s="17">
        <v>51</v>
      </c>
    </row>
    <row r="1069" spans="1:4" ht="21.75" customHeight="1">
      <c r="A1069" s="15" t="s">
        <v>40</v>
      </c>
      <c r="B1069" s="16" t="s">
        <v>8</v>
      </c>
      <c r="C1069" s="15" t="str">
        <f>"20190113530"</f>
        <v>20190113530</v>
      </c>
      <c r="D1069" s="17">
        <v>57</v>
      </c>
    </row>
    <row r="1070" spans="1:4" ht="21.75" customHeight="1">
      <c r="A1070" s="15" t="s">
        <v>40</v>
      </c>
      <c r="B1070" s="16" t="s">
        <v>8</v>
      </c>
      <c r="C1070" s="15" t="str">
        <f>"20190113601"</f>
        <v>20190113601</v>
      </c>
      <c r="D1070" s="17" t="s">
        <v>12</v>
      </c>
    </row>
    <row r="1071" spans="1:4" ht="21.75" customHeight="1">
      <c r="A1071" s="15" t="s">
        <v>40</v>
      </c>
      <c r="B1071" s="16" t="s">
        <v>8</v>
      </c>
      <c r="C1071" s="15" t="str">
        <f>"20190113602"</f>
        <v>20190113602</v>
      </c>
      <c r="D1071" s="17">
        <v>59.5</v>
      </c>
    </row>
    <row r="1072" spans="1:4" ht="21.75" customHeight="1">
      <c r="A1072" s="15" t="s">
        <v>40</v>
      </c>
      <c r="B1072" s="16" t="s">
        <v>8</v>
      </c>
      <c r="C1072" s="15" t="str">
        <f>"20190113603"</f>
        <v>20190113603</v>
      </c>
      <c r="D1072" s="17" t="s">
        <v>12</v>
      </c>
    </row>
    <row r="1073" spans="1:4" ht="21.75" customHeight="1">
      <c r="A1073" s="15" t="s">
        <v>41</v>
      </c>
      <c r="B1073" s="16" t="s">
        <v>42</v>
      </c>
      <c r="C1073" s="15" t="str">
        <f>"20190113604"</f>
        <v>20190113604</v>
      </c>
      <c r="D1073" s="17">
        <v>57</v>
      </c>
    </row>
    <row r="1074" spans="1:4" ht="21.75" customHeight="1">
      <c r="A1074" s="15" t="s">
        <v>41</v>
      </c>
      <c r="B1074" s="16" t="s">
        <v>42</v>
      </c>
      <c r="C1074" s="15" t="str">
        <f>"20190113605"</f>
        <v>20190113605</v>
      </c>
      <c r="D1074" s="17">
        <v>68</v>
      </c>
    </row>
    <row r="1075" spans="1:4" ht="21.75" customHeight="1">
      <c r="A1075" s="15" t="s">
        <v>41</v>
      </c>
      <c r="B1075" s="16" t="s">
        <v>42</v>
      </c>
      <c r="C1075" s="15" t="str">
        <f>"20190113606"</f>
        <v>20190113606</v>
      </c>
      <c r="D1075" s="17">
        <v>62.5</v>
      </c>
    </row>
    <row r="1076" spans="1:4" ht="21.75" customHeight="1">
      <c r="A1076" s="15" t="s">
        <v>41</v>
      </c>
      <c r="B1076" s="16" t="s">
        <v>42</v>
      </c>
      <c r="C1076" s="15" t="str">
        <f>"20190113607"</f>
        <v>20190113607</v>
      </c>
      <c r="D1076" s="17">
        <v>69.5</v>
      </c>
    </row>
    <row r="1077" spans="1:4" ht="21.75" customHeight="1">
      <c r="A1077" s="15" t="s">
        <v>41</v>
      </c>
      <c r="B1077" s="16" t="s">
        <v>42</v>
      </c>
      <c r="C1077" s="15" t="str">
        <f>"20190113608"</f>
        <v>20190113608</v>
      </c>
      <c r="D1077" s="17">
        <v>62.5</v>
      </c>
    </row>
    <row r="1078" spans="1:4" ht="21.75" customHeight="1">
      <c r="A1078" s="15" t="s">
        <v>41</v>
      </c>
      <c r="B1078" s="16" t="s">
        <v>42</v>
      </c>
      <c r="C1078" s="15" t="str">
        <f>"20190113609"</f>
        <v>20190113609</v>
      </c>
      <c r="D1078" s="17">
        <v>56</v>
      </c>
    </row>
    <row r="1079" spans="1:4" ht="21.75" customHeight="1">
      <c r="A1079" s="15" t="s">
        <v>41</v>
      </c>
      <c r="B1079" s="16" t="s">
        <v>42</v>
      </c>
      <c r="C1079" s="15" t="str">
        <f>"20190113610"</f>
        <v>20190113610</v>
      </c>
      <c r="D1079" s="17">
        <v>64</v>
      </c>
    </row>
    <row r="1080" spans="1:4" ht="21.75" customHeight="1">
      <c r="A1080" s="15" t="s">
        <v>41</v>
      </c>
      <c r="B1080" s="16" t="s">
        <v>42</v>
      </c>
      <c r="C1080" s="15" t="str">
        <f>"20190113611"</f>
        <v>20190113611</v>
      </c>
      <c r="D1080" s="17">
        <v>59.5</v>
      </c>
    </row>
    <row r="1081" spans="1:4" ht="21.75" customHeight="1">
      <c r="A1081" s="15" t="s">
        <v>41</v>
      </c>
      <c r="B1081" s="16" t="s">
        <v>42</v>
      </c>
      <c r="C1081" s="15" t="str">
        <f>"20190113612"</f>
        <v>20190113612</v>
      </c>
      <c r="D1081" s="17">
        <v>67</v>
      </c>
    </row>
    <row r="1082" spans="1:4" ht="21.75" customHeight="1">
      <c r="A1082" s="15" t="s">
        <v>41</v>
      </c>
      <c r="B1082" s="16" t="s">
        <v>42</v>
      </c>
      <c r="C1082" s="15" t="str">
        <f>"20190113613"</f>
        <v>20190113613</v>
      </c>
      <c r="D1082" s="17">
        <v>56</v>
      </c>
    </row>
    <row r="1083" spans="1:4" ht="21.75" customHeight="1">
      <c r="A1083" s="15" t="s">
        <v>41</v>
      </c>
      <c r="B1083" s="16" t="s">
        <v>42</v>
      </c>
      <c r="C1083" s="15" t="str">
        <f>"20190113614"</f>
        <v>20190113614</v>
      </c>
      <c r="D1083" s="17">
        <v>53</v>
      </c>
    </row>
    <row r="1084" spans="1:4" ht="21.75" customHeight="1">
      <c r="A1084" s="15" t="s">
        <v>41</v>
      </c>
      <c r="B1084" s="16" t="s">
        <v>42</v>
      </c>
      <c r="C1084" s="15" t="str">
        <f>"20190113615"</f>
        <v>20190113615</v>
      </c>
      <c r="D1084" s="17">
        <v>56.5</v>
      </c>
    </row>
    <row r="1085" spans="1:4" ht="21.75" customHeight="1">
      <c r="A1085" s="15" t="s">
        <v>41</v>
      </c>
      <c r="B1085" s="16" t="s">
        <v>42</v>
      </c>
      <c r="C1085" s="15" t="str">
        <f>"20190113616"</f>
        <v>20190113616</v>
      </c>
      <c r="D1085" s="17">
        <v>60</v>
      </c>
    </row>
    <row r="1086" spans="1:4" ht="21.75" customHeight="1">
      <c r="A1086" s="15" t="s">
        <v>41</v>
      </c>
      <c r="B1086" s="16" t="s">
        <v>42</v>
      </c>
      <c r="C1086" s="15" t="str">
        <f>"20190113617"</f>
        <v>20190113617</v>
      </c>
      <c r="D1086" s="17" t="s">
        <v>12</v>
      </c>
    </row>
    <row r="1087" spans="1:4" ht="21.75" customHeight="1">
      <c r="A1087" s="15" t="s">
        <v>41</v>
      </c>
      <c r="B1087" s="16" t="s">
        <v>42</v>
      </c>
      <c r="C1087" s="15" t="str">
        <f>"20190113618"</f>
        <v>20190113618</v>
      </c>
      <c r="D1087" s="17">
        <v>61</v>
      </c>
    </row>
    <row r="1088" spans="1:4" ht="21.75" customHeight="1">
      <c r="A1088" s="15" t="s">
        <v>41</v>
      </c>
      <c r="B1088" s="16" t="s">
        <v>42</v>
      </c>
      <c r="C1088" s="15" t="str">
        <f>"20190113619"</f>
        <v>20190113619</v>
      </c>
      <c r="D1088" s="17">
        <v>58</v>
      </c>
    </row>
    <row r="1089" spans="1:4" ht="21.75" customHeight="1">
      <c r="A1089" s="15" t="s">
        <v>41</v>
      </c>
      <c r="B1089" s="16" t="s">
        <v>42</v>
      </c>
      <c r="C1089" s="15" t="str">
        <f>"20190113620"</f>
        <v>20190113620</v>
      </c>
      <c r="D1089" s="17">
        <v>60</v>
      </c>
    </row>
    <row r="1090" spans="1:4" ht="21.75" customHeight="1">
      <c r="A1090" s="15" t="s">
        <v>41</v>
      </c>
      <c r="B1090" s="16" t="s">
        <v>42</v>
      </c>
      <c r="C1090" s="15" t="str">
        <f>"20190113621"</f>
        <v>20190113621</v>
      </c>
      <c r="D1090" s="17">
        <v>58</v>
      </c>
    </row>
    <row r="1091" spans="1:4" ht="21.75" customHeight="1">
      <c r="A1091" s="15" t="s">
        <v>41</v>
      </c>
      <c r="B1091" s="16" t="s">
        <v>42</v>
      </c>
      <c r="C1091" s="15" t="str">
        <f>"20190113622"</f>
        <v>20190113622</v>
      </c>
      <c r="D1091" s="17">
        <v>64.5</v>
      </c>
    </row>
    <row r="1092" spans="1:4" ht="21.75" customHeight="1">
      <c r="A1092" s="15" t="s">
        <v>41</v>
      </c>
      <c r="B1092" s="16" t="s">
        <v>42</v>
      </c>
      <c r="C1092" s="15" t="str">
        <f>"20190113623"</f>
        <v>20190113623</v>
      </c>
      <c r="D1092" s="17">
        <v>65.5</v>
      </c>
    </row>
    <row r="1093" spans="1:4" ht="21.75" customHeight="1">
      <c r="A1093" s="15" t="s">
        <v>41</v>
      </c>
      <c r="B1093" s="16" t="s">
        <v>42</v>
      </c>
      <c r="C1093" s="15" t="str">
        <f>"20190113624"</f>
        <v>20190113624</v>
      </c>
      <c r="D1093" s="17">
        <v>55</v>
      </c>
    </row>
    <row r="1094" spans="1:4" ht="21.75" customHeight="1">
      <c r="A1094" s="15" t="s">
        <v>41</v>
      </c>
      <c r="B1094" s="16" t="s">
        <v>42</v>
      </c>
      <c r="C1094" s="15" t="str">
        <f>"20190113625"</f>
        <v>20190113625</v>
      </c>
      <c r="D1094" s="17" t="s">
        <v>12</v>
      </c>
    </row>
    <row r="1095" spans="1:4" ht="21.75" customHeight="1">
      <c r="A1095" s="15" t="s">
        <v>41</v>
      </c>
      <c r="B1095" s="16" t="s">
        <v>42</v>
      </c>
      <c r="C1095" s="15" t="str">
        <f>"20190113626"</f>
        <v>20190113626</v>
      </c>
      <c r="D1095" s="17">
        <v>61</v>
      </c>
    </row>
    <row r="1096" spans="1:4" ht="21.75" customHeight="1">
      <c r="A1096" s="15" t="s">
        <v>41</v>
      </c>
      <c r="B1096" s="16" t="s">
        <v>42</v>
      </c>
      <c r="C1096" s="15" t="str">
        <f>"20190113627"</f>
        <v>20190113627</v>
      </c>
      <c r="D1096" s="17">
        <v>70.5</v>
      </c>
    </row>
    <row r="1097" spans="1:4" ht="21.75" customHeight="1">
      <c r="A1097" s="15" t="s">
        <v>41</v>
      </c>
      <c r="B1097" s="16" t="s">
        <v>42</v>
      </c>
      <c r="C1097" s="15" t="str">
        <f>"20190113628"</f>
        <v>20190113628</v>
      </c>
      <c r="D1097" s="17">
        <v>63</v>
      </c>
    </row>
    <row r="1098" spans="1:4" ht="21.75" customHeight="1">
      <c r="A1098" s="15" t="s">
        <v>41</v>
      </c>
      <c r="B1098" s="16" t="s">
        <v>42</v>
      </c>
      <c r="C1098" s="15" t="str">
        <f>"20190113629"</f>
        <v>20190113629</v>
      </c>
      <c r="D1098" s="17">
        <v>54</v>
      </c>
    </row>
    <row r="1099" spans="1:4" ht="21.75" customHeight="1">
      <c r="A1099" s="15" t="s">
        <v>41</v>
      </c>
      <c r="B1099" s="16" t="s">
        <v>42</v>
      </c>
      <c r="C1099" s="15" t="str">
        <f>"20190113630"</f>
        <v>20190113630</v>
      </c>
      <c r="D1099" s="17">
        <v>56</v>
      </c>
    </row>
    <row r="1100" spans="1:4" ht="21.75" customHeight="1">
      <c r="A1100" s="15" t="s">
        <v>41</v>
      </c>
      <c r="B1100" s="16" t="s">
        <v>42</v>
      </c>
      <c r="C1100" s="15" t="str">
        <f>"20190113701"</f>
        <v>20190113701</v>
      </c>
      <c r="D1100" s="17">
        <v>58.5</v>
      </c>
    </row>
    <row r="1101" spans="1:5" ht="21.75" customHeight="1">
      <c r="A1101" s="15" t="s">
        <v>41</v>
      </c>
      <c r="B1101" s="16" t="s">
        <v>42</v>
      </c>
      <c r="C1101" s="15" t="str">
        <f>"20190113702"</f>
        <v>20190113702</v>
      </c>
      <c r="D1101" s="17">
        <v>76</v>
      </c>
      <c r="E1101" s="18" t="s">
        <v>9</v>
      </c>
    </row>
    <row r="1102" spans="1:4" ht="21.75" customHeight="1">
      <c r="A1102" s="15" t="s">
        <v>41</v>
      </c>
      <c r="B1102" s="16" t="s">
        <v>42</v>
      </c>
      <c r="C1102" s="15" t="str">
        <f>"20190113703"</f>
        <v>20190113703</v>
      </c>
      <c r="D1102" s="17">
        <v>60</v>
      </c>
    </row>
    <row r="1103" spans="1:4" ht="21.75" customHeight="1">
      <c r="A1103" s="15" t="s">
        <v>41</v>
      </c>
      <c r="B1103" s="16" t="s">
        <v>42</v>
      </c>
      <c r="C1103" s="15" t="str">
        <f>"20190113704"</f>
        <v>20190113704</v>
      </c>
      <c r="D1103" s="17">
        <v>66.5</v>
      </c>
    </row>
    <row r="1104" spans="1:4" ht="21.75" customHeight="1">
      <c r="A1104" s="15" t="s">
        <v>41</v>
      </c>
      <c r="B1104" s="16" t="s">
        <v>42</v>
      </c>
      <c r="C1104" s="15" t="str">
        <f>"20190113705"</f>
        <v>20190113705</v>
      </c>
      <c r="D1104" s="17">
        <v>65</v>
      </c>
    </row>
    <row r="1105" spans="1:4" ht="21.75" customHeight="1">
      <c r="A1105" s="15" t="s">
        <v>41</v>
      </c>
      <c r="B1105" s="16" t="s">
        <v>42</v>
      </c>
      <c r="C1105" s="15" t="str">
        <f>"20190113706"</f>
        <v>20190113706</v>
      </c>
      <c r="D1105" s="17">
        <v>58.5</v>
      </c>
    </row>
    <row r="1106" spans="1:4" ht="21.75" customHeight="1">
      <c r="A1106" s="15" t="s">
        <v>41</v>
      </c>
      <c r="B1106" s="16" t="s">
        <v>42</v>
      </c>
      <c r="C1106" s="15" t="str">
        <f>"20190113707"</f>
        <v>20190113707</v>
      </c>
      <c r="D1106" s="17">
        <v>61</v>
      </c>
    </row>
    <row r="1107" spans="1:4" ht="21.75" customHeight="1">
      <c r="A1107" s="15" t="s">
        <v>41</v>
      </c>
      <c r="B1107" s="16" t="s">
        <v>42</v>
      </c>
      <c r="C1107" s="15" t="str">
        <f>"20190113708"</f>
        <v>20190113708</v>
      </c>
      <c r="D1107" s="17">
        <v>49.5</v>
      </c>
    </row>
    <row r="1108" spans="1:4" ht="21.75" customHeight="1">
      <c r="A1108" s="15" t="s">
        <v>41</v>
      </c>
      <c r="B1108" s="16" t="s">
        <v>42</v>
      </c>
      <c r="C1108" s="15" t="str">
        <f>"20190113709"</f>
        <v>20190113709</v>
      </c>
      <c r="D1108" s="17" t="s">
        <v>12</v>
      </c>
    </row>
    <row r="1109" spans="1:4" ht="21.75" customHeight="1">
      <c r="A1109" s="15" t="s">
        <v>41</v>
      </c>
      <c r="B1109" s="16" t="s">
        <v>42</v>
      </c>
      <c r="C1109" s="15" t="str">
        <f>"20190113710"</f>
        <v>20190113710</v>
      </c>
      <c r="D1109" s="17">
        <v>70.5</v>
      </c>
    </row>
    <row r="1110" spans="1:4" ht="21.75" customHeight="1">
      <c r="A1110" s="15" t="s">
        <v>41</v>
      </c>
      <c r="B1110" s="16" t="s">
        <v>42</v>
      </c>
      <c r="C1110" s="15" t="str">
        <f>"20190113711"</f>
        <v>20190113711</v>
      </c>
      <c r="D1110" s="17">
        <v>65.5</v>
      </c>
    </row>
    <row r="1111" spans="1:4" ht="21.75" customHeight="1">
      <c r="A1111" s="15" t="s">
        <v>41</v>
      </c>
      <c r="B1111" s="16" t="s">
        <v>42</v>
      </c>
      <c r="C1111" s="15" t="str">
        <f>"20190113712"</f>
        <v>20190113712</v>
      </c>
      <c r="D1111" s="17">
        <v>66</v>
      </c>
    </row>
    <row r="1112" spans="1:4" ht="21.75" customHeight="1">
      <c r="A1112" s="15" t="s">
        <v>41</v>
      </c>
      <c r="B1112" s="16" t="s">
        <v>42</v>
      </c>
      <c r="C1112" s="15" t="str">
        <f>"20190113713"</f>
        <v>20190113713</v>
      </c>
      <c r="D1112" s="17" t="s">
        <v>12</v>
      </c>
    </row>
    <row r="1113" spans="1:4" ht="21.75" customHeight="1">
      <c r="A1113" s="15" t="s">
        <v>41</v>
      </c>
      <c r="B1113" s="16" t="s">
        <v>42</v>
      </c>
      <c r="C1113" s="15" t="str">
        <f>"20190113714"</f>
        <v>20190113714</v>
      </c>
      <c r="D1113" s="17">
        <v>71.5</v>
      </c>
    </row>
    <row r="1114" spans="1:4" ht="21.75" customHeight="1">
      <c r="A1114" s="15" t="s">
        <v>41</v>
      </c>
      <c r="B1114" s="16" t="s">
        <v>42</v>
      </c>
      <c r="C1114" s="15" t="str">
        <f>"20190113715"</f>
        <v>20190113715</v>
      </c>
      <c r="D1114" s="17">
        <v>55.5</v>
      </c>
    </row>
    <row r="1115" spans="1:4" ht="21.75" customHeight="1">
      <c r="A1115" s="15" t="s">
        <v>41</v>
      </c>
      <c r="B1115" s="16" t="s">
        <v>42</v>
      </c>
      <c r="C1115" s="15" t="str">
        <f>"20190113716"</f>
        <v>20190113716</v>
      </c>
      <c r="D1115" s="17">
        <v>64</v>
      </c>
    </row>
    <row r="1116" spans="1:4" ht="21.75" customHeight="1">
      <c r="A1116" s="15" t="s">
        <v>41</v>
      </c>
      <c r="B1116" s="16" t="s">
        <v>42</v>
      </c>
      <c r="C1116" s="15" t="str">
        <f>"20190113717"</f>
        <v>20190113717</v>
      </c>
      <c r="D1116" s="17">
        <v>54.5</v>
      </c>
    </row>
    <row r="1117" spans="1:4" ht="21.75" customHeight="1">
      <c r="A1117" s="15" t="s">
        <v>41</v>
      </c>
      <c r="B1117" s="16" t="s">
        <v>42</v>
      </c>
      <c r="C1117" s="15" t="str">
        <f>"20190113718"</f>
        <v>20190113718</v>
      </c>
      <c r="D1117" s="17">
        <v>72</v>
      </c>
    </row>
    <row r="1118" spans="1:4" ht="21.75" customHeight="1">
      <c r="A1118" s="15" t="s">
        <v>41</v>
      </c>
      <c r="B1118" s="16" t="s">
        <v>42</v>
      </c>
      <c r="C1118" s="15" t="str">
        <f>"20190113719"</f>
        <v>20190113719</v>
      </c>
      <c r="D1118" s="17" t="s">
        <v>12</v>
      </c>
    </row>
    <row r="1119" spans="1:4" ht="21.75" customHeight="1">
      <c r="A1119" s="15" t="s">
        <v>41</v>
      </c>
      <c r="B1119" s="16" t="s">
        <v>42</v>
      </c>
      <c r="C1119" s="15" t="str">
        <f>"20190113720"</f>
        <v>20190113720</v>
      </c>
      <c r="D1119" s="17" t="s">
        <v>12</v>
      </c>
    </row>
    <row r="1120" spans="1:4" ht="21.75" customHeight="1">
      <c r="A1120" s="15" t="s">
        <v>41</v>
      </c>
      <c r="B1120" s="16" t="s">
        <v>42</v>
      </c>
      <c r="C1120" s="15" t="str">
        <f>"20190113721"</f>
        <v>20190113721</v>
      </c>
      <c r="D1120" s="17">
        <v>60</v>
      </c>
    </row>
    <row r="1121" spans="1:4" ht="21.75" customHeight="1">
      <c r="A1121" s="15" t="s">
        <v>41</v>
      </c>
      <c r="B1121" s="16" t="s">
        <v>42</v>
      </c>
      <c r="C1121" s="15" t="str">
        <f>"20190113722"</f>
        <v>20190113722</v>
      </c>
      <c r="D1121" s="17">
        <v>68</v>
      </c>
    </row>
    <row r="1122" spans="1:4" ht="21.75" customHeight="1">
      <c r="A1122" s="15" t="s">
        <v>41</v>
      </c>
      <c r="B1122" s="16" t="s">
        <v>42</v>
      </c>
      <c r="C1122" s="15" t="str">
        <f>"20190113723"</f>
        <v>20190113723</v>
      </c>
      <c r="D1122" s="17">
        <v>63</v>
      </c>
    </row>
    <row r="1123" spans="1:4" ht="21.75" customHeight="1">
      <c r="A1123" s="15" t="s">
        <v>41</v>
      </c>
      <c r="B1123" s="16" t="s">
        <v>42</v>
      </c>
      <c r="C1123" s="15" t="str">
        <f>"20190113724"</f>
        <v>20190113724</v>
      </c>
      <c r="D1123" s="17">
        <v>57.5</v>
      </c>
    </row>
    <row r="1124" spans="1:4" ht="21.75" customHeight="1">
      <c r="A1124" s="15" t="s">
        <v>41</v>
      </c>
      <c r="B1124" s="16" t="s">
        <v>42</v>
      </c>
      <c r="C1124" s="15" t="str">
        <f>"20190113725"</f>
        <v>20190113725</v>
      </c>
      <c r="D1124" s="17">
        <v>64</v>
      </c>
    </row>
    <row r="1125" spans="1:4" ht="21.75" customHeight="1">
      <c r="A1125" s="15" t="s">
        <v>41</v>
      </c>
      <c r="B1125" s="16" t="s">
        <v>42</v>
      </c>
      <c r="C1125" s="15" t="str">
        <f>"20190113726"</f>
        <v>20190113726</v>
      </c>
      <c r="D1125" s="17">
        <v>64.5</v>
      </c>
    </row>
    <row r="1126" spans="1:4" ht="21.75" customHeight="1">
      <c r="A1126" s="15" t="s">
        <v>41</v>
      </c>
      <c r="B1126" s="16" t="s">
        <v>42</v>
      </c>
      <c r="C1126" s="15" t="str">
        <f>"20190113727"</f>
        <v>20190113727</v>
      </c>
      <c r="D1126" s="17">
        <v>43</v>
      </c>
    </row>
    <row r="1127" spans="1:4" ht="21.75" customHeight="1">
      <c r="A1127" s="15" t="s">
        <v>41</v>
      </c>
      <c r="B1127" s="16" t="s">
        <v>42</v>
      </c>
      <c r="C1127" s="15" t="str">
        <f>"20190113728"</f>
        <v>20190113728</v>
      </c>
      <c r="D1127" s="17">
        <v>63</v>
      </c>
    </row>
    <row r="1128" spans="1:4" ht="21.75" customHeight="1">
      <c r="A1128" s="15" t="s">
        <v>41</v>
      </c>
      <c r="B1128" s="16" t="s">
        <v>42</v>
      </c>
      <c r="C1128" s="15" t="str">
        <f>"20190113729"</f>
        <v>20190113729</v>
      </c>
      <c r="D1128" s="17">
        <v>59</v>
      </c>
    </row>
    <row r="1129" spans="1:4" ht="21.75" customHeight="1">
      <c r="A1129" s="15" t="s">
        <v>41</v>
      </c>
      <c r="B1129" s="16" t="s">
        <v>42</v>
      </c>
      <c r="C1129" s="15" t="str">
        <f>"20190113730"</f>
        <v>20190113730</v>
      </c>
      <c r="D1129" s="17">
        <v>55</v>
      </c>
    </row>
    <row r="1130" spans="1:4" ht="21.75" customHeight="1">
      <c r="A1130" s="15" t="s">
        <v>41</v>
      </c>
      <c r="B1130" s="16" t="s">
        <v>42</v>
      </c>
      <c r="C1130" s="15" t="str">
        <f>"20190113801"</f>
        <v>20190113801</v>
      </c>
      <c r="D1130" s="17">
        <v>61.5</v>
      </c>
    </row>
    <row r="1131" spans="1:4" ht="21.75" customHeight="1">
      <c r="A1131" s="15" t="s">
        <v>41</v>
      </c>
      <c r="B1131" s="16" t="s">
        <v>42</v>
      </c>
      <c r="C1131" s="15" t="str">
        <f>"20190113802"</f>
        <v>20190113802</v>
      </c>
      <c r="D1131" s="17">
        <v>64.5</v>
      </c>
    </row>
    <row r="1132" spans="1:4" ht="21.75" customHeight="1">
      <c r="A1132" s="15" t="s">
        <v>41</v>
      </c>
      <c r="B1132" s="16" t="s">
        <v>42</v>
      </c>
      <c r="C1132" s="15" t="str">
        <f>"20190113803"</f>
        <v>20190113803</v>
      </c>
      <c r="D1132" s="17">
        <v>66</v>
      </c>
    </row>
    <row r="1133" spans="1:4" ht="21.75" customHeight="1">
      <c r="A1133" s="15" t="s">
        <v>41</v>
      </c>
      <c r="B1133" s="16" t="s">
        <v>42</v>
      </c>
      <c r="C1133" s="15" t="str">
        <f>"20190113804"</f>
        <v>20190113804</v>
      </c>
      <c r="D1133" s="17">
        <v>67</v>
      </c>
    </row>
    <row r="1134" spans="1:4" ht="21.75" customHeight="1">
      <c r="A1134" s="15" t="s">
        <v>41</v>
      </c>
      <c r="B1134" s="16" t="s">
        <v>42</v>
      </c>
      <c r="C1134" s="15" t="str">
        <f>"20190113805"</f>
        <v>20190113805</v>
      </c>
      <c r="D1134" s="17" t="s">
        <v>12</v>
      </c>
    </row>
    <row r="1135" spans="1:4" ht="21.75" customHeight="1">
      <c r="A1135" s="15" t="s">
        <v>41</v>
      </c>
      <c r="B1135" s="16" t="s">
        <v>42</v>
      </c>
      <c r="C1135" s="15" t="str">
        <f>"20190113806"</f>
        <v>20190113806</v>
      </c>
      <c r="D1135" s="17">
        <v>59.5</v>
      </c>
    </row>
    <row r="1136" spans="1:4" ht="21.75" customHeight="1">
      <c r="A1136" s="15" t="s">
        <v>41</v>
      </c>
      <c r="B1136" s="16" t="s">
        <v>42</v>
      </c>
      <c r="C1136" s="15" t="str">
        <f>"20190113807"</f>
        <v>20190113807</v>
      </c>
      <c r="D1136" s="17">
        <v>68.5</v>
      </c>
    </row>
    <row r="1137" spans="1:4" ht="21.75" customHeight="1">
      <c r="A1137" s="15" t="s">
        <v>41</v>
      </c>
      <c r="B1137" s="16" t="s">
        <v>42</v>
      </c>
      <c r="C1137" s="15" t="str">
        <f>"20190113808"</f>
        <v>20190113808</v>
      </c>
      <c r="D1137" s="17">
        <v>63.5</v>
      </c>
    </row>
    <row r="1138" spans="1:4" ht="21.75" customHeight="1">
      <c r="A1138" s="15" t="s">
        <v>41</v>
      </c>
      <c r="B1138" s="16" t="s">
        <v>42</v>
      </c>
      <c r="C1138" s="15" t="str">
        <f>"20190113809"</f>
        <v>20190113809</v>
      </c>
      <c r="D1138" s="17">
        <v>65</v>
      </c>
    </row>
    <row r="1139" spans="1:4" ht="21.75" customHeight="1">
      <c r="A1139" s="15" t="s">
        <v>41</v>
      </c>
      <c r="B1139" s="16" t="s">
        <v>42</v>
      </c>
      <c r="C1139" s="15" t="str">
        <f>"20190113810"</f>
        <v>20190113810</v>
      </c>
      <c r="D1139" s="17" t="s">
        <v>12</v>
      </c>
    </row>
    <row r="1140" spans="1:4" ht="21.75" customHeight="1">
      <c r="A1140" s="15" t="s">
        <v>41</v>
      </c>
      <c r="B1140" s="16" t="s">
        <v>42</v>
      </c>
      <c r="C1140" s="15" t="str">
        <f>"20190113811"</f>
        <v>20190113811</v>
      </c>
      <c r="D1140" s="17">
        <v>66.5</v>
      </c>
    </row>
    <row r="1141" spans="1:4" ht="21.75" customHeight="1">
      <c r="A1141" s="15" t="s">
        <v>41</v>
      </c>
      <c r="B1141" s="16" t="s">
        <v>42</v>
      </c>
      <c r="C1141" s="15" t="str">
        <f>"20190113812"</f>
        <v>20190113812</v>
      </c>
      <c r="D1141" s="17">
        <v>61</v>
      </c>
    </row>
    <row r="1142" spans="1:5" ht="21.75" customHeight="1">
      <c r="A1142" s="15" t="s">
        <v>41</v>
      </c>
      <c r="B1142" s="16" t="s">
        <v>42</v>
      </c>
      <c r="C1142" s="15" t="str">
        <f>"20190113813"</f>
        <v>20190113813</v>
      </c>
      <c r="D1142" s="17">
        <v>65</v>
      </c>
      <c r="E1142" s="19"/>
    </row>
    <row r="1143" spans="1:5" ht="21.75" customHeight="1">
      <c r="A1143" s="15" t="s">
        <v>41</v>
      </c>
      <c r="B1143" s="16" t="s">
        <v>42</v>
      </c>
      <c r="C1143" s="15" t="str">
        <f>"20190113814"</f>
        <v>20190113814</v>
      </c>
      <c r="D1143" s="17">
        <v>67</v>
      </c>
      <c r="E1143" s="19"/>
    </row>
    <row r="1144" spans="1:5" ht="21.75" customHeight="1">
      <c r="A1144" s="15" t="s">
        <v>41</v>
      </c>
      <c r="B1144" s="16" t="s">
        <v>42</v>
      </c>
      <c r="C1144" s="15" t="str">
        <f>"20190113815"</f>
        <v>20190113815</v>
      </c>
      <c r="D1144" s="17">
        <v>53</v>
      </c>
      <c r="E1144" s="19"/>
    </row>
    <row r="1145" spans="1:5" ht="21.75" customHeight="1">
      <c r="A1145" s="15" t="s">
        <v>41</v>
      </c>
      <c r="B1145" s="16" t="s">
        <v>42</v>
      </c>
      <c r="C1145" s="15" t="str">
        <f>"20190113816"</f>
        <v>20190113816</v>
      </c>
      <c r="D1145" s="17">
        <v>69.5</v>
      </c>
      <c r="E1145" s="19"/>
    </row>
    <row r="1146" spans="1:4" ht="21.75" customHeight="1">
      <c r="A1146" s="15" t="s">
        <v>41</v>
      </c>
      <c r="B1146" s="16" t="s">
        <v>42</v>
      </c>
      <c r="C1146" s="15" t="str">
        <f>"20190113817"</f>
        <v>20190113817</v>
      </c>
      <c r="D1146" s="17">
        <v>64.5</v>
      </c>
    </row>
    <row r="1147" spans="1:4" ht="21.75" customHeight="1">
      <c r="A1147" s="15" t="s">
        <v>41</v>
      </c>
      <c r="B1147" s="16" t="s">
        <v>42</v>
      </c>
      <c r="C1147" s="15" t="str">
        <f>"20190113818"</f>
        <v>20190113818</v>
      </c>
      <c r="D1147" s="17" t="s">
        <v>12</v>
      </c>
    </row>
    <row r="1148" spans="1:4" ht="21.75" customHeight="1">
      <c r="A1148" s="15" t="s">
        <v>41</v>
      </c>
      <c r="B1148" s="16" t="s">
        <v>42</v>
      </c>
      <c r="C1148" s="15" t="str">
        <f>"20190113819"</f>
        <v>20190113819</v>
      </c>
      <c r="D1148" s="17" t="s">
        <v>12</v>
      </c>
    </row>
    <row r="1149" spans="1:4" ht="21.75" customHeight="1">
      <c r="A1149" s="15" t="s">
        <v>41</v>
      </c>
      <c r="B1149" s="16" t="s">
        <v>42</v>
      </c>
      <c r="C1149" s="15" t="str">
        <f>"20190113820"</f>
        <v>20190113820</v>
      </c>
      <c r="D1149" s="17">
        <v>65.5</v>
      </c>
    </row>
    <row r="1150" spans="1:4" ht="21.75" customHeight="1">
      <c r="A1150" s="15" t="s">
        <v>41</v>
      </c>
      <c r="B1150" s="16" t="s">
        <v>42</v>
      </c>
      <c r="C1150" s="15" t="str">
        <f>"20190113821"</f>
        <v>20190113821</v>
      </c>
      <c r="D1150" s="17" t="s">
        <v>12</v>
      </c>
    </row>
    <row r="1151" spans="1:4" ht="21.75" customHeight="1">
      <c r="A1151" s="15" t="s">
        <v>41</v>
      </c>
      <c r="B1151" s="16" t="s">
        <v>42</v>
      </c>
      <c r="C1151" s="15" t="str">
        <f>"20190113822"</f>
        <v>20190113822</v>
      </c>
      <c r="D1151" s="17">
        <v>63</v>
      </c>
    </row>
    <row r="1152" spans="1:4" ht="21.75" customHeight="1">
      <c r="A1152" s="15" t="s">
        <v>41</v>
      </c>
      <c r="B1152" s="16" t="s">
        <v>42</v>
      </c>
      <c r="C1152" s="15" t="str">
        <f>"20190113823"</f>
        <v>20190113823</v>
      </c>
      <c r="D1152" s="17">
        <v>55</v>
      </c>
    </row>
    <row r="1153" spans="1:4" ht="21.75" customHeight="1">
      <c r="A1153" s="15" t="s">
        <v>41</v>
      </c>
      <c r="B1153" s="16" t="s">
        <v>42</v>
      </c>
      <c r="C1153" s="15" t="str">
        <f>"20190113824"</f>
        <v>20190113824</v>
      </c>
      <c r="D1153" s="17">
        <v>59.5</v>
      </c>
    </row>
    <row r="1154" spans="1:5" ht="21.75" customHeight="1">
      <c r="A1154" s="15" t="s">
        <v>41</v>
      </c>
      <c r="B1154" s="16" t="s">
        <v>42</v>
      </c>
      <c r="C1154" s="15" t="str">
        <f>"20190113825"</f>
        <v>20190113825</v>
      </c>
      <c r="D1154" s="17">
        <v>73</v>
      </c>
      <c r="E1154" s="18" t="s">
        <v>9</v>
      </c>
    </row>
    <row r="1155" spans="1:4" ht="21.75" customHeight="1">
      <c r="A1155" s="15" t="s">
        <v>41</v>
      </c>
      <c r="B1155" s="16" t="s">
        <v>42</v>
      </c>
      <c r="C1155" s="15" t="str">
        <f>"20190113826"</f>
        <v>20190113826</v>
      </c>
      <c r="D1155" s="17">
        <v>63</v>
      </c>
    </row>
    <row r="1156" spans="1:4" ht="21.75" customHeight="1">
      <c r="A1156" s="15" t="s">
        <v>41</v>
      </c>
      <c r="B1156" s="16" t="s">
        <v>42</v>
      </c>
      <c r="C1156" s="15" t="str">
        <f>"20190113827"</f>
        <v>20190113827</v>
      </c>
      <c r="D1156" s="17">
        <v>58</v>
      </c>
    </row>
    <row r="1157" spans="1:4" ht="21.75" customHeight="1">
      <c r="A1157" s="15" t="s">
        <v>41</v>
      </c>
      <c r="B1157" s="16" t="s">
        <v>42</v>
      </c>
      <c r="C1157" s="15" t="str">
        <f>"20190113828"</f>
        <v>20190113828</v>
      </c>
      <c r="D1157" s="17">
        <v>72</v>
      </c>
    </row>
    <row r="1158" spans="1:4" ht="21.75" customHeight="1">
      <c r="A1158" s="15" t="s">
        <v>41</v>
      </c>
      <c r="B1158" s="16" t="s">
        <v>42</v>
      </c>
      <c r="C1158" s="15" t="str">
        <f>"20190113829"</f>
        <v>20190113829</v>
      </c>
      <c r="D1158" s="17">
        <v>59</v>
      </c>
    </row>
    <row r="1159" spans="1:4" ht="21.75" customHeight="1">
      <c r="A1159" s="15" t="s">
        <v>41</v>
      </c>
      <c r="B1159" s="16" t="s">
        <v>42</v>
      </c>
      <c r="C1159" s="15" t="str">
        <f>"20190113830"</f>
        <v>20190113830</v>
      </c>
      <c r="D1159" s="17">
        <v>68</v>
      </c>
    </row>
    <row r="1160" spans="1:4" ht="21.75" customHeight="1">
      <c r="A1160" s="15" t="s">
        <v>41</v>
      </c>
      <c r="B1160" s="16" t="s">
        <v>42</v>
      </c>
      <c r="C1160" s="15" t="str">
        <f>"20190113901"</f>
        <v>20190113901</v>
      </c>
      <c r="D1160" s="17">
        <v>58</v>
      </c>
    </row>
    <row r="1161" spans="1:4" ht="21.75" customHeight="1">
      <c r="A1161" s="15" t="s">
        <v>41</v>
      </c>
      <c r="B1161" s="16" t="s">
        <v>42</v>
      </c>
      <c r="C1161" s="15" t="str">
        <f>"20190113902"</f>
        <v>20190113902</v>
      </c>
      <c r="D1161" s="17">
        <v>62</v>
      </c>
    </row>
    <row r="1162" spans="1:4" ht="21.75" customHeight="1">
      <c r="A1162" s="15" t="s">
        <v>41</v>
      </c>
      <c r="B1162" s="16" t="s">
        <v>42</v>
      </c>
      <c r="C1162" s="15" t="str">
        <f>"20190113903"</f>
        <v>20190113903</v>
      </c>
      <c r="D1162" s="17">
        <v>62.5</v>
      </c>
    </row>
    <row r="1163" spans="1:4" ht="21.75" customHeight="1">
      <c r="A1163" s="15" t="s">
        <v>41</v>
      </c>
      <c r="B1163" s="16" t="s">
        <v>42</v>
      </c>
      <c r="C1163" s="15" t="str">
        <f>"20190113904"</f>
        <v>20190113904</v>
      </c>
      <c r="D1163" s="17">
        <v>60</v>
      </c>
    </row>
    <row r="1164" spans="1:4" ht="21.75" customHeight="1">
      <c r="A1164" s="15" t="s">
        <v>41</v>
      </c>
      <c r="B1164" s="16" t="s">
        <v>42</v>
      </c>
      <c r="C1164" s="15" t="str">
        <f>"20190113905"</f>
        <v>20190113905</v>
      </c>
      <c r="D1164" s="17">
        <v>66</v>
      </c>
    </row>
    <row r="1165" spans="1:4" ht="21.75" customHeight="1">
      <c r="A1165" s="15" t="s">
        <v>41</v>
      </c>
      <c r="B1165" s="16" t="s">
        <v>42</v>
      </c>
      <c r="C1165" s="15" t="str">
        <f>"20190113906"</f>
        <v>20190113906</v>
      </c>
      <c r="D1165" s="17">
        <v>55</v>
      </c>
    </row>
    <row r="1166" spans="1:4" ht="21.75" customHeight="1">
      <c r="A1166" s="15" t="s">
        <v>41</v>
      </c>
      <c r="B1166" s="16" t="s">
        <v>42</v>
      </c>
      <c r="C1166" s="15" t="str">
        <f>"20190113907"</f>
        <v>20190113907</v>
      </c>
      <c r="D1166" s="17">
        <v>58.5</v>
      </c>
    </row>
    <row r="1167" spans="1:4" ht="21.75" customHeight="1">
      <c r="A1167" s="15" t="s">
        <v>41</v>
      </c>
      <c r="B1167" s="16" t="s">
        <v>42</v>
      </c>
      <c r="C1167" s="15" t="str">
        <f>"20190113908"</f>
        <v>20190113908</v>
      </c>
      <c r="D1167" s="17">
        <v>67.5</v>
      </c>
    </row>
    <row r="1168" spans="1:4" ht="21.75" customHeight="1">
      <c r="A1168" s="15" t="s">
        <v>41</v>
      </c>
      <c r="B1168" s="16" t="s">
        <v>42</v>
      </c>
      <c r="C1168" s="15" t="str">
        <f>"20190113909"</f>
        <v>20190113909</v>
      </c>
      <c r="D1168" s="17">
        <v>72.5</v>
      </c>
    </row>
    <row r="1169" spans="1:4" ht="21.75" customHeight="1">
      <c r="A1169" s="15" t="s">
        <v>41</v>
      </c>
      <c r="B1169" s="16" t="s">
        <v>42</v>
      </c>
      <c r="C1169" s="15" t="str">
        <f>"20190113910"</f>
        <v>20190113910</v>
      </c>
      <c r="D1169" s="17">
        <v>66.5</v>
      </c>
    </row>
    <row r="1170" spans="1:4" ht="21.75" customHeight="1">
      <c r="A1170" s="15" t="s">
        <v>41</v>
      </c>
      <c r="B1170" s="16" t="s">
        <v>42</v>
      </c>
      <c r="C1170" s="15" t="str">
        <f>"20190113911"</f>
        <v>20190113911</v>
      </c>
      <c r="D1170" s="17">
        <v>65</v>
      </c>
    </row>
    <row r="1171" spans="1:4" ht="21.75" customHeight="1">
      <c r="A1171" s="15" t="s">
        <v>41</v>
      </c>
      <c r="B1171" s="16" t="s">
        <v>42</v>
      </c>
      <c r="C1171" s="15" t="str">
        <f>"20190113912"</f>
        <v>20190113912</v>
      </c>
      <c r="D1171" s="17">
        <v>69</v>
      </c>
    </row>
    <row r="1172" spans="1:4" ht="21.75" customHeight="1">
      <c r="A1172" s="15" t="s">
        <v>41</v>
      </c>
      <c r="B1172" s="16" t="s">
        <v>42</v>
      </c>
      <c r="C1172" s="15" t="str">
        <f>"20190113913"</f>
        <v>20190113913</v>
      </c>
      <c r="D1172" s="17">
        <v>62.5</v>
      </c>
    </row>
    <row r="1173" spans="1:4" ht="21.75" customHeight="1">
      <c r="A1173" s="15" t="s">
        <v>41</v>
      </c>
      <c r="B1173" s="16" t="s">
        <v>42</v>
      </c>
      <c r="C1173" s="15" t="str">
        <f>"20190113914"</f>
        <v>20190113914</v>
      </c>
      <c r="D1173" s="17">
        <v>67.5</v>
      </c>
    </row>
    <row r="1174" spans="1:4" ht="21.75" customHeight="1">
      <c r="A1174" s="15" t="s">
        <v>41</v>
      </c>
      <c r="B1174" s="16" t="s">
        <v>42</v>
      </c>
      <c r="C1174" s="15" t="str">
        <f>"20190113915"</f>
        <v>20190113915</v>
      </c>
      <c r="D1174" s="17" t="s">
        <v>12</v>
      </c>
    </row>
    <row r="1175" spans="1:4" ht="21.75" customHeight="1">
      <c r="A1175" s="15" t="s">
        <v>41</v>
      </c>
      <c r="B1175" s="16" t="s">
        <v>42</v>
      </c>
      <c r="C1175" s="15" t="str">
        <f>"20190113916"</f>
        <v>20190113916</v>
      </c>
      <c r="D1175" s="17">
        <v>54</v>
      </c>
    </row>
    <row r="1176" spans="1:4" ht="21.75" customHeight="1">
      <c r="A1176" s="15" t="s">
        <v>41</v>
      </c>
      <c r="B1176" s="16" t="s">
        <v>42</v>
      </c>
      <c r="C1176" s="15" t="str">
        <f>"20190113917"</f>
        <v>20190113917</v>
      </c>
      <c r="D1176" s="17">
        <v>54.5</v>
      </c>
    </row>
    <row r="1177" spans="1:4" ht="21.75" customHeight="1">
      <c r="A1177" s="15" t="s">
        <v>41</v>
      </c>
      <c r="B1177" s="16" t="s">
        <v>42</v>
      </c>
      <c r="C1177" s="15" t="str">
        <f>"20190113918"</f>
        <v>20190113918</v>
      </c>
      <c r="D1177" s="17" t="s">
        <v>12</v>
      </c>
    </row>
    <row r="1178" spans="1:4" ht="21.75" customHeight="1">
      <c r="A1178" s="15" t="s">
        <v>41</v>
      </c>
      <c r="B1178" s="16" t="s">
        <v>42</v>
      </c>
      <c r="C1178" s="15" t="str">
        <f>"20190113919"</f>
        <v>20190113919</v>
      </c>
      <c r="D1178" s="17" t="s">
        <v>12</v>
      </c>
    </row>
    <row r="1179" spans="1:4" ht="21.75" customHeight="1">
      <c r="A1179" s="15" t="s">
        <v>41</v>
      </c>
      <c r="B1179" s="16" t="s">
        <v>42</v>
      </c>
      <c r="C1179" s="15" t="str">
        <f>"20190113920"</f>
        <v>20190113920</v>
      </c>
      <c r="D1179" s="17">
        <v>49</v>
      </c>
    </row>
    <row r="1180" spans="1:4" ht="21.75" customHeight="1">
      <c r="A1180" s="15" t="s">
        <v>41</v>
      </c>
      <c r="B1180" s="16" t="s">
        <v>42</v>
      </c>
      <c r="C1180" s="15" t="str">
        <f>"20190113921"</f>
        <v>20190113921</v>
      </c>
      <c r="D1180" s="17">
        <v>59</v>
      </c>
    </row>
    <row r="1181" spans="1:4" ht="21.75" customHeight="1">
      <c r="A1181" s="15" t="s">
        <v>41</v>
      </c>
      <c r="B1181" s="16" t="s">
        <v>42</v>
      </c>
      <c r="C1181" s="15" t="str">
        <f>"20190113922"</f>
        <v>20190113922</v>
      </c>
      <c r="D1181" s="17" t="s">
        <v>12</v>
      </c>
    </row>
    <row r="1182" spans="1:4" ht="21.75" customHeight="1">
      <c r="A1182" s="15" t="s">
        <v>41</v>
      </c>
      <c r="B1182" s="16" t="s">
        <v>42</v>
      </c>
      <c r="C1182" s="15" t="str">
        <f>"20190113923"</f>
        <v>20190113923</v>
      </c>
      <c r="D1182" s="17">
        <v>56.5</v>
      </c>
    </row>
    <row r="1183" spans="1:4" ht="21.75" customHeight="1">
      <c r="A1183" s="15" t="s">
        <v>41</v>
      </c>
      <c r="B1183" s="16" t="s">
        <v>42</v>
      </c>
      <c r="C1183" s="15" t="str">
        <f>"20190113924"</f>
        <v>20190113924</v>
      </c>
      <c r="D1183" s="17">
        <v>68</v>
      </c>
    </row>
    <row r="1184" spans="1:4" ht="21.75" customHeight="1">
      <c r="A1184" s="15" t="s">
        <v>41</v>
      </c>
      <c r="B1184" s="16" t="s">
        <v>42</v>
      </c>
      <c r="C1184" s="15" t="str">
        <f>"20190113925"</f>
        <v>20190113925</v>
      </c>
      <c r="D1184" s="17">
        <v>51</v>
      </c>
    </row>
    <row r="1185" spans="1:4" ht="21.75" customHeight="1">
      <c r="A1185" s="15" t="s">
        <v>41</v>
      </c>
      <c r="B1185" s="16" t="s">
        <v>42</v>
      </c>
      <c r="C1185" s="15" t="str">
        <f>"20190113926"</f>
        <v>20190113926</v>
      </c>
      <c r="D1185" s="17">
        <v>56</v>
      </c>
    </row>
    <row r="1186" spans="1:4" ht="21.75" customHeight="1">
      <c r="A1186" s="15" t="s">
        <v>41</v>
      </c>
      <c r="B1186" s="16" t="s">
        <v>42</v>
      </c>
      <c r="C1186" s="15" t="str">
        <f>"20190113927"</f>
        <v>20190113927</v>
      </c>
      <c r="D1186" s="17">
        <v>67.5</v>
      </c>
    </row>
    <row r="1187" spans="1:4" ht="21.75" customHeight="1">
      <c r="A1187" s="15" t="s">
        <v>41</v>
      </c>
      <c r="B1187" s="16" t="s">
        <v>42</v>
      </c>
      <c r="C1187" s="15" t="str">
        <f>"20190113928"</f>
        <v>20190113928</v>
      </c>
      <c r="D1187" s="17">
        <v>69</v>
      </c>
    </row>
    <row r="1188" spans="1:4" ht="21.75" customHeight="1">
      <c r="A1188" s="15" t="s">
        <v>41</v>
      </c>
      <c r="B1188" s="16" t="s">
        <v>42</v>
      </c>
      <c r="C1188" s="15" t="str">
        <f>"20190113929"</f>
        <v>20190113929</v>
      </c>
      <c r="D1188" s="17">
        <v>63.5</v>
      </c>
    </row>
    <row r="1189" spans="1:4" ht="21.75" customHeight="1">
      <c r="A1189" s="15" t="s">
        <v>41</v>
      </c>
      <c r="B1189" s="16" t="s">
        <v>42</v>
      </c>
      <c r="C1189" s="15" t="str">
        <f>"20190113930"</f>
        <v>20190113930</v>
      </c>
      <c r="D1189" s="17">
        <v>66</v>
      </c>
    </row>
    <row r="1190" spans="1:4" ht="21.75" customHeight="1">
      <c r="A1190" s="15" t="s">
        <v>41</v>
      </c>
      <c r="B1190" s="16" t="s">
        <v>42</v>
      </c>
      <c r="C1190" s="15" t="str">
        <f>"20190114001"</f>
        <v>20190114001</v>
      </c>
      <c r="D1190" s="17">
        <v>62</v>
      </c>
    </row>
    <row r="1191" spans="1:4" ht="21.75" customHeight="1">
      <c r="A1191" s="15" t="s">
        <v>41</v>
      </c>
      <c r="B1191" s="16" t="s">
        <v>42</v>
      </c>
      <c r="C1191" s="15" t="str">
        <f>"20190114002"</f>
        <v>20190114002</v>
      </c>
      <c r="D1191" s="17" t="s">
        <v>12</v>
      </c>
    </row>
    <row r="1192" spans="1:4" ht="21.75" customHeight="1">
      <c r="A1192" s="15" t="s">
        <v>41</v>
      </c>
      <c r="B1192" s="16" t="s">
        <v>42</v>
      </c>
      <c r="C1192" s="15" t="str">
        <f>"20190114003"</f>
        <v>20190114003</v>
      </c>
      <c r="D1192" s="17">
        <v>67.5</v>
      </c>
    </row>
    <row r="1193" spans="1:4" ht="21.75" customHeight="1">
      <c r="A1193" s="15" t="s">
        <v>41</v>
      </c>
      <c r="B1193" s="16" t="s">
        <v>42</v>
      </c>
      <c r="C1193" s="15" t="str">
        <f>"20190114004"</f>
        <v>20190114004</v>
      </c>
      <c r="D1193" s="17" t="s">
        <v>12</v>
      </c>
    </row>
    <row r="1194" spans="1:4" ht="21.75" customHeight="1">
      <c r="A1194" s="15" t="s">
        <v>41</v>
      </c>
      <c r="B1194" s="16" t="s">
        <v>42</v>
      </c>
      <c r="C1194" s="15" t="str">
        <f>"20190114005"</f>
        <v>20190114005</v>
      </c>
      <c r="D1194" s="17">
        <v>57.5</v>
      </c>
    </row>
    <row r="1195" spans="1:4" ht="21.75" customHeight="1">
      <c r="A1195" s="15" t="s">
        <v>41</v>
      </c>
      <c r="B1195" s="16" t="s">
        <v>42</v>
      </c>
      <c r="C1195" s="15" t="str">
        <f>"20190114006"</f>
        <v>20190114006</v>
      </c>
      <c r="D1195" s="17">
        <v>68</v>
      </c>
    </row>
    <row r="1196" spans="1:4" ht="21.75" customHeight="1">
      <c r="A1196" s="15" t="s">
        <v>41</v>
      </c>
      <c r="B1196" s="16" t="s">
        <v>42</v>
      </c>
      <c r="C1196" s="15" t="str">
        <f>"20190114007"</f>
        <v>20190114007</v>
      </c>
      <c r="D1196" s="17">
        <v>53</v>
      </c>
    </row>
    <row r="1197" spans="1:4" ht="21.75" customHeight="1">
      <c r="A1197" s="15" t="s">
        <v>41</v>
      </c>
      <c r="B1197" s="16" t="s">
        <v>42</v>
      </c>
      <c r="C1197" s="15" t="str">
        <f>"20190114008"</f>
        <v>20190114008</v>
      </c>
      <c r="D1197" s="17">
        <v>51</v>
      </c>
    </row>
    <row r="1198" spans="1:4" ht="21.75" customHeight="1">
      <c r="A1198" s="15" t="s">
        <v>41</v>
      </c>
      <c r="B1198" s="16" t="s">
        <v>42</v>
      </c>
      <c r="C1198" s="15" t="str">
        <f>"20190114009"</f>
        <v>20190114009</v>
      </c>
      <c r="D1198" s="17" t="s">
        <v>12</v>
      </c>
    </row>
    <row r="1199" spans="1:5" ht="21.75" customHeight="1">
      <c r="A1199" s="15" t="s">
        <v>41</v>
      </c>
      <c r="B1199" s="16" t="s">
        <v>42</v>
      </c>
      <c r="C1199" s="15" t="str">
        <f>"20190114010"</f>
        <v>20190114010</v>
      </c>
      <c r="D1199" s="17">
        <v>69</v>
      </c>
      <c r="E1199" s="19"/>
    </row>
    <row r="1200" spans="1:5" ht="21.75" customHeight="1">
      <c r="A1200" s="15" t="s">
        <v>41</v>
      </c>
      <c r="B1200" s="16" t="s">
        <v>42</v>
      </c>
      <c r="C1200" s="15" t="str">
        <f>"20190114011"</f>
        <v>20190114011</v>
      </c>
      <c r="D1200" s="17" t="s">
        <v>12</v>
      </c>
      <c r="E1200" s="19"/>
    </row>
    <row r="1201" spans="1:5" ht="21.75" customHeight="1">
      <c r="A1201" s="15" t="s">
        <v>41</v>
      </c>
      <c r="B1201" s="16" t="s">
        <v>42</v>
      </c>
      <c r="C1201" s="15" t="str">
        <f>"20190114012"</f>
        <v>20190114012</v>
      </c>
      <c r="D1201" s="17">
        <v>59.5</v>
      </c>
      <c r="E1201" s="19"/>
    </row>
    <row r="1202" spans="1:4" ht="21.75" customHeight="1">
      <c r="A1202" s="15" t="s">
        <v>41</v>
      </c>
      <c r="B1202" s="16" t="s">
        <v>42</v>
      </c>
      <c r="C1202" s="15" t="str">
        <f>"20190114013"</f>
        <v>20190114013</v>
      </c>
      <c r="D1202" s="17">
        <v>69.5</v>
      </c>
    </row>
    <row r="1203" spans="1:4" ht="21.75" customHeight="1">
      <c r="A1203" s="15" t="s">
        <v>41</v>
      </c>
      <c r="B1203" s="16" t="s">
        <v>42</v>
      </c>
      <c r="C1203" s="15" t="str">
        <f>"20190114014"</f>
        <v>20190114014</v>
      </c>
      <c r="D1203" s="17" t="s">
        <v>12</v>
      </c>
    </row>
    <row r="1204" spans="1:4" ht="21.75" customHeight="1">
      <c r="A1204" s="15" t="s">
        <v>41</v>
      </c>
      <c r="B1204" s="16" t="s">
        <v>42</v>
      </c>
      <c r="C1204" s="15" t="str">
        <f>"20190114015"</f>
        <v>20190114015</v>
      </c>
      <c r="D1204" s="17">
        <v>71.5</v>
      </c>
    </row>
    <row r="1205" spans="1:4" ht="21.75" customHeight="1">
      <c r="A1205" s="15" t="s">
        <v>41</v>
      </c>
      <c r="B1205" s="16" t="s">
        <v>42</v>
      </c>
      <c r="C1205" s="15" t="str">
        <f>"20190114016"</f>
        <v>20190114016</v>
      </c>
      <c r="D1205" s="17">
        <v>58</v>
      </c>
    </row>
    <row r="1206" spans="1:4" ht="21.75" customHeight="1">
      <c r="A1206" s="15" t="s">
        <v>41</v>
      </c>
      <c r="B1206" s="16" t="s">
        <v>42</v>
      </c>
      <c r="C1206" s="15" t="str">
        <f>"20190114017"</f>
        <v>20190114017</v>
      </c>
      <c r="D1206" s="17">
        <v>60.5</v>
      </c>
    </row>
    <row r="1207" spans="1:4" ht="21.75" customHeight="1">
      <c r="A1207" s="15" t="s">
        <v>41</v>
      </c>
      <c r="B1207" s="16" t="s">
        <v>42</v>
      </c>
      <c r="C1207" s="15" t="str">
        <f>"20190114018"</f>
        <v>20190114018</v>
      </c>
      <c r="D1207" s="17">
        <v>67</v>
      </c>
    </row>
    <row r="1208" spans="1:4" ht="21.75" customHeight="1">
      <c r="A1208" s="15" t="s">
        <v>41</v>
      </c>
      <c r="B1208" s="16" t="s">
        <v>42</v>
      </c>
      <c r="C1208" s="15" t="str">
        <f>"20190114019"</f>
        <v>20190114019</v>
      </c>
      <c r="D1208" s="17">
        <v>62.5</v>
      </c>
    </row>
    <row r="1209" spans="1:4" ht="21.75" customHeight="1">
      <c r="A1209" s="15" t="s">
        <v>41</v>
      </c>
      <c r="B1209" s="16" t="s">
        <v>42</v>
      </c>
      <c r="C1209" s="15" t="str">
        <f>"20190114020"</f>
        <v>20190114020</v>
      </c>
      <c r="D1209" s="17">
        <v>50</v>
      </c>
    </row>
    <row r="1210" spans="1:4" ht="21.75" customHeight="1">
      <c r="A1210" s="15" t="s">
        <v>41</v>
      </c>
      <c r="B1210" s="16" t="s">
        <v>42</v>
      </c>
      <c r="C1210" s="15" t="str">
        <f>"20190114021"</f>
        <v>20190114021</v>
      </c>
      <c r="D1210" s="17">
        <v>63.5</v>
      </c>
    </row>
    <row r="1211" spans="1:4" ht="21.75" customHeight="1">
      <c r="A1211" s="15" t="s">
        <v>41</v>
      </c>
      <c r="B1211" s="16" t="s">
        <v>42</v>
      </c>
      <c r="C1211" s="15" t="str">
        <f>"20190114022"</f>
        <v>20190114022</v>
      </c>
      <c r="D1211" s="17">
        <v>54</v>
      </c>
    </row>
    <row r="1212" spans="1:4" ht="21.75" customHeight="1">
      <c r="A1212" s="15" t="s">
        <v>41</v>
      </c>
      <c r="B1212" s="16" t="s">
        <v>42</v>
      </c>
      <c r="C1212" s="15" t="str">
        <f>"20190114023"</f>
        <v>20190114023</v>
      </c>
      <c r="D1212" s="17">
        <v>61.5</v>
      </c>
    </row>
    <row r="1213" spans="1:4" ht="21.75" customHeight="1">
      <c r="A1213" s="15" t="s">
        <v>41</v>
      </c>
      <c r="B1213" s="16" t="s">
        <v>42</v>
      </c>
      <c r="C1213" s="15" t="str">
        <f>"20190114024"</f>
        <v>20190114024</v>
      </c>
      <c r="D1213" s="17">
        <v>58</v>
      </c>
    </row>
    <row r="1214" spans="1:4" ht="21.75" customHeight="1">
      <c r="A1214" s="15" t="s">
        <v>41</v>
      </c>
      <c r="B1214" s="16" t="s">
        <v>42</v>
      </c>
      <c r="C1214" s="15" t="str">
        <f>"20190114025"</f>
        <v>20190114025</v>
      </c>
      <c r="D1214" s="17">
        <v>63.5</v>
      </c>
    </row>
    <row r="1215" spans="1:4" ht="21.75" customHeight="1">
      <c r="A1215" s="15" t="s">
        <v>41</v>
      </c>
      <c r="B1215" s="16" t="s">
        <v>42</v>
      </c>
      <c r="C1215" s="15" t="str">
        <f>"20190114026"</f>
        <v>20190114026</v>
      </c>
      <c r="D1215" s="17">
        <v>67.5</v>
      </c>
    </row>
    <row r="1216" spans="1:4" ht="21.75" customHeight="1">
      <c r="A1216" s="15" t="s">
        <v>41</v>
      </c>
      <c r="B1216" s="16" t="s">
        <v>42</v>
      </c>
      <c r="C1216" s="15" t="str">
        <f>"20190114027"</f>
        <v>20190114027</v>
      </c>
      <c r="D1216" s="17">
        <v>68</v>
      </c>
    </row>
    <row r="1217" spans="1:4" ht="21.75" customHeight="1">
      <c r="A1217" s="15" t="s">
        <v>41</v>
      </c>
      <c r="B1217" s="16" t="s">
        <v>42</v>
      </c>
      <c r="C1217" s="15" t="str">
        <f>"20190114028"</f>
        <v>20190114028</v>
      </c>
      <c r="D1217" s="17">
        <v>59.5</v>
      </c>
    </row>
    <row r="1218" spans="1:4" ht="21.75" customHeight="1">
      <c r="A1218" s="15" t="s">
        <v>41</v>
      </c>
      <c r="B1218" s="16" t="s">
        <v>42</v>
      </c>
      <c r="C1218" s="15" t="str">
        <f>"20190114029"</f>
        <v>20190114029</v>
      </c>
      <c r="D1218" s="17">
        <v>61</v>
      </c>
    </row>
    <row r="1219" spans="1:4" ht="21.75" customHeight="1">
      <c r="A1219" s="15" t="s">
        <v>41</v>
      </c>
      <c r="B1219" s="16" t="s">
        <v>42</v>
      </c>
      <c r="C1219" s="15" t="str">
        <f>"20190114030"</f>
        <v>20190114030</v>
      </c>
      <c r="D1219" s="17">
        <v>62</v>
      </c>
    </row>
    <row r="1220" spans="1:4" ht="21.75" customHeight="1">
      <c r="A1220" s="15" t="s">
        <v>41</v>
      </c>
      <c r="B1220" s="16" t="s">
        <v>42</v>
      </c>
      <c r="C1220" s="15" t="str">
        <f>"20190114101"</f>
        <v>20190114101</v>
      </c>
      <c r="D1220" s="17">
        <v>59.5</v>
      </c>
    </row>
    <row r="1221" spans="1:4" ht="21.75" customHeight="1">
      <c r="A1221" s="15" t="s">
        <v>41</v>
      </c>
      <c r="B1221" s="16" t="s">
        <v>42</v>
      </c>
      <c r="C1221" s="15" t="str">
        <f>"20190114102"</f>
        <v>20190114102</v>
      </c>
      <c r="D1221" s="17">
        <v>64.5</v>
      </c>
    </row>
    <row r="1222" spans="1:4" ht="21.75" customHeight="1">
      <c r="A1222" s="15" t="s">
        <v>41</v>
      </c>
      <c r="B1222" s="16" t="s">
        <v>42</v>
      </c>
      <c r="C1222" s="15" t="str">
        <f>"20190114103"</f>
        <v>20190114103</v>
      </c>
      <c r="D1222" s="17" t="s">
        <v>12</v>
      </c>
    </row>
    <row r="1223" spans="1:4" ht="21.75" customHeight="1">
      <c r="A1223" s="15" t="s">
        <v>41</v>
      </c>
      <c r="B1223" s="16" t="s">
        <v>42</v>
      </c>
      <c r="C1223" s="15" t="str">
        <f>"20190114104"</f>
        <v>20190114104</v>
      </c>
      <c r="D1223" s="17" t="s">
        <v>12</v>
      </c>
    </row>
    <row r="1224" spans="1:4" ht="21.75" customHeight="1">
      <c r="A1224" s="15" t="s">
        <v>41</v>
      </c>
      <c r="B1224" s="16" t="s">
        <v>42</v>
      </c>
      <c r="C1224" s="15" t="str">
        <f>"20190114105"</f>
        <v>20190114105</v>
      </c>
      <c r="D1224" s="17">
        <v>65</v>
      </c>
    </row>
    <row r="1225" spans="1:4" ht="21.75" customHeight="1">
      <c r="A1225" s="15" t="s">
        <v>41</v>
      </c>
      <c r="B1225" s="16" t="s">
        <v>42</v>
      </c>
      <c r="C1225" s="15" t="str">
        <f>"20190114106"</f>
        <v>20190114106</v>
      </c>
      <c r="D1225" s="17">
        <v>34.5</v>
      </c>
    </row>
    <row r="1226" spans="1:4" ht="21.75" customHeight="1">
      <c r="A1226" s="15" t="s">
        <v>41</v>
      </c>
      <c r="B1226" s="16" t="s">
        <v>42</v>
      </c>
      <c r="C1226" s="15" t="str">
        <f>"20190114107"</f>
        <v>20190114107</v>
      </c>
      <c r="D1226" s="17">
        <v>62</v>
      </c>
    </row>
    <row r="1227" spans="1:4" ht="21.75" customHeight="1">
      <c r="A1227" s="15" t="s">
        <v>41</v>
      </c>
      <c r="B1227" s="16" t="s">
        <v>42</v>
      </c>
      <c r="C1227" s="15" t="str">
        <f>"20190114108"</f>
        <v>20190114108</v>
      </c>
      <c r="D1227" s="17">
        <v>65.5</v>
      </c>
    </row>
    <row r="1228" spans="1:4" ht="21.75" customHeight="1">
      <c r="A1228" s="15" t="s">
        <v>41</v>
      </c>
      <c r="B1228" s="16" t="s">
        <v>42</v>
      </c>
      <c r="C1228" s="15" t="str">
        <f>"20190114109"</f>
        <v>20190114109</v>
      </c>
      <c r="D1228" s="17">
        <v>71</v>
      </c>
    </row>
    <row r="1229" spans="1:4" ht="21.75" customHeight="1">
      <c r="A1229" s="15" t="s">
        <v>41</v>
      </c>
      <c r="B1229" s="16" t="s">
        <v>42</v>
      </c>
      <c r="C1229" s="15" t="str">
        <f>"20190114110"</f>
        <v>20190114110</v>
      </c>
      <c r="D1229" s="17">
        <v>56.5</v>
      </c>
    </row>
    <row r="1230" spans="1:4" ht="21.75" customHeight="1">
      <c r="A1230" s="15" t="s">
        <v>41</v>
      </c>
      <c r="B1230" s="16" t="s">
        <v>42</v>
      </c>
      <c r="C1230" s="15" t="str">
        <f>"20190114111"</f>
        <v>20190114111</v>
      </c>
      <c r="D1230" s="17">
        <v>70.5</v>
      </c>
    </row>
    <row r="1231" spans="1:4" ht="21.75" customHeight="1">
      <c r="A1231" s="15" t="s">
        <v>41</v>
      </c>
      <c r="B1231" s="16" t="s">
        <v>42</v>
      </c>
      <c r="C1231" s="15" t="str">
        <f>"20190114112"</f>
        <v>20190114112</v>
      </c>
      <c r="D1231" s="17">
        <v>55</v>
      </c>
    </row>
    <row r="1232" spans="1:4" ht="21.75" customHeight="1">
      <c r="A1232" s="15" t="s">
        <v>41</v>
      </c>
      <c r="B1232" s="16" t="s">
        <v>42</v>
      </c>
      <c r="C1232" s="15" t="str">
        <f>"20190114113"</f>
        <v>20190114113</v>
      </c>
      <c r="D1232" s="17">
        <v>61.5</v>
      </c>
    </row>
    <row r="1233" spans="1:4" ht="21.75" customHeight="1">
      <c r="A1233" s="15" t="s">
        <v>41</v>
      </c>
      <c r="B1233" s="16" t="s">
        <v>42</v>
      </c>
      <c r="C1233" s="15" t="str">
        <f>"20190114114"</f>
        <v>20190114114</v>
      </c>
      <c r="D1233" s="17">
        <v>68</v>
      </c>
    </row>
    <row r="1234" spans="1:4" ht="21.75" customHeight="1">
      <c r="A1234" s="15" t="s">
        <v>41</v>
      </c>
      <c r="B1234" s="16" t="s">
        <v>42</v>
      </c>
      <c r="C1234" s="15" t="str">
        <f>"20190114115"</f>
        <v>20190114115</v>
      </c>
      <c r="D1234" s="17">
        <v>59</v>
      </c>
    </row>
    <row r="1235" spans="1:4" ht="21.75" customHeight="1">
      <c r="A1235" s="15" t="s">
        <v>41</v>
      </c>
      <c r="B1235" s="16" t="s">
        <v>42</v>
      </c>
      <c r="C1235" s="15" t="str">
        <f>"20190114116"</f>
        <v>20190114116</v>
      </c>
      <c r="D1235" s="17">
        <v>59.5</v>
      </c>
    </row>
    <row r="1236" spans="1:4" ht="21.75" customHeight="1">
      <c r="A1236" s="15" t="s">
        <v>41</v>
      </c>
      <c r="B1236" s="16" t="s">
        <v>42</v>
      </c>
      <c r="C1236" s="15" t="str">
        <f>"20190114117"</f>
        <v>20190114117</v>
      </c>
      <c r="D1236" s="17" t="s">
        <v>12</v>
      </c>
    </row>
    <row r="1237" spans="1:4" ht="21.75" customHeight="1">
      <c r="A1237" s="15" t="s">
        <v>41</v>
      </c>
      <c r="B1237" s="16" t="s">
        <v>42</v>
      </c>
      <c r="C1237" s="15" t="str">
        <f>"20190114118"</f>
        <v>20190114118</v>
      </c>
      <c r="D1237" s="17">
        <v>60</v>
      </c>
    </row>
    <row r="1238" spans="1:4" ht="21.75" customHeight="1">
      <c r="A1238" s="15" t="s">
        <v>41</v>
      </c>
      <c r="B1238" s="16" t="s">
        <v>42</v>
      </c>
      <c r="C1238" s="15" t="str">
        <f>"20190114119"</f>
        <v>20190114119</v>
      </c>
      <c r="D1238" s="17" t="s">
        <v>12</v>
      </c>
    </row>
    <row r="1239" spans="1:4" ht="21.75" customHeight="1">
      <c r="A1239" s="15" t="s">
        <v>41</v>
      </c>
      <c r="B1239" s="16" t="s">
        <v>42</v>
      </c>
      <c r="C1239" s="15" t="str">
        <f>"20190114120"</f>
        <v>20190114120</v>
      </c>
      <c r="D1239" s="17" t="s">
        <v>12</v>
      </c>
    </row>
    <row r="1240" spans="1:4" ht="21.75" customHeight="1">
      <c r="A1240" s="15" t="s">
        <v>41</v>
      </c>
      <c r="B1240" s="16" t="s">
        <v>42</v>
      </c>
      <c r="C1240" s="15" t="str">
        <f>"20190114121"</f>
        <v>20190114121</v>
      </c>
      <c r="D1240" s="17">
        <v>58</v>
      </c>
    </row>
    <row r="1241" spans="1:4" ht="21.75" customHeight="1">
      <c r="A1241" s="15" t="s">
        <v>41</v>
      </c>
      <c r="B1241" s="16" t="s">
        <v>42</v>
      </c>
      <c r="C1241" s="15" t="str">
        <f>"20190114122"</f>
        <v>20190114122</v>
      </c>
      <c r="D1241" s="17">
        <v>62.5</v>
      </c>
    </row>
    <row r="1242" spans="1:4" ht="21.75" customHeight="1">
      <c r="A1242" s="15" t="s">
        <v>41</v>
      </c>
      <c r="B1242" s="16" t="s">
        <v>42</v>
      </c>
      <c r="C1242" s="15" t="str">
        <f>"20190114123"</f>
        <v>20190114123</v>
      </c>
      <c r="D1242" s="17">
        <v>63</v>
      </c>
    </row>
    <row r="1243" spans="1:4" ht="21.75" customHeight="1">
      <c r="A1243" s="15" t="s">
        <v>41</v>
      </c>
      <c r="B1243" s="16" t="s">
        <v>42</v>
      </c>
      <c r="C1243" s="15" t="str">
        <f>"20190114124"</f>
        <v>20190114124</v>
      </c>
      <c r="D1243" s="17">
        <v>59.5</v>
      </c>
    </row>
    <row r="1244" spans="1:4" ht="21.75" customHeight="1">
      <c r="A1244" s="15" t="s">
        <v>41</v>
      </c>
      <c r="B1244" s="16" t="s">
        <v>42</v>
      </c>
      <c r="C1244" s="15" t="str">
        <f>"20190114125"</f>
        <v>20190114125</v>
      </c>
      <c r="D1244" s="17">
        <v>59</v>
      </c>
    </row>
    <row r="1245" spans="1:4" ht="21.75" customHeight="1">
      <c r="A1245" s="15" t="s">
        <v>41</v>
      </c>
      <c r="B1245" s="16" t="s">
        <v>42</v>
      </c>
      <c r="C1245" s="15" t="str">
        <f>"20190114126"</f>
        <v>20190114126</v>
      </c>
      <c r="D1245" s="17" t="s">
        <v>12</v>
      </c>
    </row>
    <row r="1246" spans="1:4" ht="21.75" customHeight="1">
      <c r="A1246" s="15" t="s">
        <v>41</v>
      </c>
      <c r="B1246" s="16" t="s">
        <v>42</v>
      </c>
      <c r="C1246" s="15" t="str">
        <f>"20190114127"</f>
        <v>20190114127</v>
      </c>
      <c r="D1246" s="17" t="s">
        <v>12</v>
      </c>
    </row>
    <row r="1247" spans="1:4" ht="21.75" customHeight="1">
      <c r="A1247" s="15" t="s">
        <v>41</v>
      </c>
      <c r="B1247" s="16" t="s">
        <v>42</v>
      </c>
      <c r="C1247" s="15" t="str">
        <f>"20190114128"</f>
        <v>20190114128</v>
      </c>
      <c r="D1247" s="17" t="s">
        <v>12</v>
      </c>
    </row>
    <row r="1248" spans="1:4" ht="21.75" customHeight="1">
      <c r="A1248" s="15" t="s">
        <v>41</v>
      </c>
      <c r="B1248" s="16" t="s">
        <v>42</v>
      </c>
      <c r="C1248" s="15" t="str">
        <f>"20190114129"</f>
        <v>20190114129</v>
      </c>
      <c r="D1248" s="17">
        <v>64.5</v>
      </c>
    </row>
    <row r="1249" spans="1:4" ht="21.75" customHeight="1">
      <c r="A1249" s="15" t="s">
        <v>41</v>
      </c>
      <c r="B1249" s="16" t="s">
        <v>42</v>
      </c>
      <c r="C1249" s="15" t="str">
        <f>"20190114130"</f>
        <v>20190114130</v>
      </c>
      <c r="D1249" s="17">
        <v>62.5</v>
      </c>
    </row>
    <row r="1250" spans="1:4" ht="21.75" customHeight="1">
      <c r="A1250" s="15" t="s">
        <v>41</v>
      </c>
      <c r="B1250" s="16" t="s">
        <v>42</v>
      </c>
      <c r="C1250" s="15" t="str">
        <f>"20190114201"</f>
        <v>20190114201</v>
      </c>
      <c r="D1250" s="17">
        <v>59.5</v>
      </c>
    </row>
    <row r="1251" spans="1:4" ht="21.75" customHeight="1">
      <c r="A1251" s="15" t="s">
        <v>41</v>
      </c>
      <c r="B1251" s="16" t="s">
        <v>42</v>
      </c>
      <c r="C1251" s="15" t="str">
        <f>"20190114202"</f>
        <v>20190114202</v>
      </c>
      <c r="D1251" s="17">
        <v>66.5</v>
      </c>
    </row>
    <row r="1252" spans="1:4" ht="21.75" customHeight="1">
      <c r="A1252" s="15" t="s">
        <v>41</v>
      </c>
      <c r="B1252" s="16" t="s">
        <v>42</v>
      </c>
      <c r="C1252" s="15" t="str">
        <f>"20190114203"</f>
        <v>20190114203</v>
      </c>
      <c r="D1252" s="17">
        <v>62.5</v>
      </c>
    </row>
    <row r="1253" spans="1:4" ht="21.75" customHeight="1">
      <c r="A1253" s="15" t="s">
        <v>41</v>
      </c>
      <c r="B1253" s="16" t="s">
        <v>42</v>
      </c>
      <c r="C1253" s="15" t="str">
        <f>"20190114204"</f>
        <v>20190114204</v>
      </c>
      <c r="D1253" s="17">
        <v>49</v>
      </c>
    </row>
    <row r="1254" spans="1:4" ht="21.75" customHeight="1">
      <c r="A1254" s="15" t="s">
        <v>41</v>
      </c>
      <c r="B1254" s="16" t="s">
        <v>42</v>
      </c>
      <c r="C1254" s="15" t="str">
        <f>"20190114205"</f>
        <v>20190114205</v>
      </c>
      <c r="D1254" s="17" t="s">
        <v>12</v>
      </c>
    </row>
    <row r="1255" spans="1:4" ht="21.75" customHeight="1">
      <c r="A1255" s="15" t="s">
        <v>41</v>
      </c>
      <c r="B1255" s="16" t="s">
        <v>42</v>
      </c>
      <c r="C1255" s="15" t="str">
        <f>"20190114206"</f>
        <v>20190114206</v>
      </c>
      <c r="D1255" s="17">
        <v>62.5</v>
      </c>
    </row>
    <row r="1256" spans="1:4" ht="21.75" customHeight="1">
      <c r="A1256" s="15" t="s">
        <v>41</v>
      </c>
      <c r="B1256" s="16" t="s">
        <v>42</v>
      </c>
      <c r="C1256" s="15" t="str">
        <f>"20190114207"</f>
        <v>20190114207</v>
      </c>
      <c r="D1256" s="17" t="s">
        <v>12</v>
      </c>
    </row>
    <row r="1257" spans="1:4" ht="21.75" customHeight="1">
      <c r="A1257" s="15" t="s">
        <v>41</v>
      </c>
      <c r="B1257" s="16" t="s">
        <v>42</v>
      </c>
      <c r="C1257" s="15" t="str">
        <f>"20190114208"</f>
        <v>20190114208</v>
      </c>
      <c r="D1257" s="17">
        <v>71</v>
      </c>
    </row>
    <row r="1258" spans="1:4" ht="21.75" customHeight="1">
      <c r="A1258" s="15" t="s">
        <v>41</v>
      </c>
      <c r="B1258" s="16" t="s">
        <v>42</v>
      </c>
      <c r="C1258" s="15" t="str">
        <f>"20190114209"</f>
        <v>20190114209</v>
      </c>
      <c r="D1258" s="17" t="s">
        <v>12</v>
      </c>
    </row>
    <row r="1259" spans="1:4" ht="21.75" customHeight="1">
      <c r="A1259" s="15" t="s">
        <v>41</v>
      </c>
      <c r="B1259" s="16" t="s">
        <v>42</v>
      </c>
      <c r="C1259" s="15" t="str">
        <f>"20190114210"</f>
        <v>20190114210</v>
      </c>
      <c r="D1259" s="17">
        <v>71</v>
      </c>
    </row>
    <row r="1260" spans="1:4" ht="21.75" customHeight="1">
      <c r="A1260" s="15" t="s">
        <v>41</v>
      </c>
      <c r="B1260" s="16" t="s">
        <v>42</v>
      </c>
      <c r="C1260" s="15" t="str">
        <f>"20190114211"</f>
        <v>20190114211</v>
      </c>
      <c r="D1260" s="17">
        <v>53</v>
      </c>
    </row>
    <row r="1261" spans="1:4" ht="21.75" customHeight="1">
      <c r="A1261" s="15" t="s">
        <v>41</v>
      </c>
      <c r="B1261" s="16" t="s">
        <v>42</v>
      </c>
      <c r="C1261" s="15" t="str">
        <f>"20190114212"</f>
        <v>20190114212</v>
      </c>
      <c r="D1261" s="17">
        <v>60</v>
      </c>
    </row>
    <row r="1262" spans="1:4" ht="21.75" customHeight="1">
      <c r="A1262" s="15" t="s">
        <v>41</v>
      </c>
      <c r="B1262" s="16" t="s">
        <v>42</v>
      </c>
      <c r="C1262" s="15" t="str">
        <f>"20190114213"</f>
        <v>20190114213</v>
      </c>
      <c r="D1262" s="17">
        <v>59</v>
      </c>
    </row>
    <row r="1263" spans="1:4" ht="21.75" customHeight="1">
      <c r="A1263" s="15" t="s">
        <v>41</v>
      </c>
      <c r="B1263" s="16" t="s">
        <v>42</v>
      </c>
      <c r="C1263" s="15" t="str">
        <f>"20190114214"</f>
        <v>20190114214</v>
      </c>
      <c r="D1263" s="17">
        <v>72.5</v>
      </c>
    </row>
    <row r="1264" spans="1:4" ht="21.75" customHeight="1">
      <c r="A1264" s="15" t="s">
        <v>41</v>
      </c>
      <c r="B1264" s="16" t="s">
        <v>42</v>
      </c>
      <c r="C1264" s="15" t="str">
        <f>"20190114215"</f>
        <v>20190114215</v>
      </c>
      <c r="D1264" s="17" t="s">
        <v>12</v>
      </c>
    </row>
    <row r="1265" spans="1:4" ht="21.75" customHeight="1">
      <c r="A1265" s="15" t="s">
        <v>41</v>
      </c>
      <c r="B1265" s="16" t="s">
        <v>42</v>
      </c>
      <c r="C1265" s="15" t="str">
        <f>"20190114216"</f>
        <v>20190114216</v>
      </c>
      <c r="D1265" s="17">
        <v>64</v>
      </c>
    </row>
    <row r="1266" spans="1:4" ht="21.75" customHeight="1">
      <c r="A1266" s="15" t="s">
        <v>41</v>
      </c>
      <c r="B1266" s="16" t="s">
        <v>42</v>
      </c>
      <c r="C1266" s="15" t="str">
        <f>"20190114217"</f>
        <v>20190114217</v>
      </c>
      <c r="D1266" s="17" t="s">
        <v>12</v>
      </c>
    </row>
    <row r="1267" spans="1:4" ht="21.75" customHeight="1">
      <c r="A1267" s="15" t="s">
        <v>41</v>
      </c>
      <c r="B1267" s="16" t="s">
        <v>42</v>
      </c>
      <c r="C1267" s="15" t="str">
        <f>"20190114218"</f>
        <v>20190114218</v>
      </c>
      <c r="D1267" s="17" t="s">
        <v>12</v>
      </c>
    </row>
    <row r="1268" spans="1:4" ht="21.75" customHeight="1">
      <c r="A1268" s="15" t="s">
        <v>41</v>
      </c>
      <c r="B1268" s="16" t="s">
        <v>42</v>
      </c>
      <c r="C1268" s="15" t="str">
        <f>"20190114219"</f>
        <v>20190114219</v>
      </c>
      <c r="D1268" s="17">
        <v>58</v>
      </c>
    </row>
    <row r="1269" spans="1:4" ht="21.75" customHeight="1">
      <c r="A1269" s="15" t="s">
        <v>41</v>
      </c>
      <c r="B1269" s="16" t="s">
        <v>42</v>
      </c>
      <c r="C1269" s="15" t="str">
        <f>"20190114220"</f>
        <v>20190114220</v>
      </c>
      <c r="D1269" s="17">
        <v>59.5</v>
      </c>
    </row>
    <row r="1270" spans="1:4" ht="21.75" customHeight="1">
      <c r="A1270" s="15" t="s">
        <v>41</v>
      </c>
      <c r="B1270" s="16" t="s">
        <v>42</v>
      </c>
      <c r="C1270" s="15" t="str">
        <f>"20190114221"</f>
        <v>20190114221</v>
      </c>
      <c r="D1270" s="17">
        <v>57.5</v>
      </c>
    </row>
    <row r="1271" spans="1:5" ht="21.75" customHeight="1">
      <c r="A1271" s="15" t="s">
        <v>41</v>
      </c>
      <c r="B1271" s="16" t="s">
        <v>42</v>
      </c>
      <c r="C1271" s="15" t="str">
        <f>"20190114222"</f>
        <v>20190114222</v>
      </c>
      <c r="D1271" s="17">
        <v>73.5</v>
      </c>
      <c r="E1271" s="18" t="s">
        <v>9</v>
      </c>
    </row>
    <row r="1272" spans="1:4" ht="21.75" customHeight="1">
      <c r="A1272" s="15" t="s">
        <v>41</v>
      </c>
      <c r="B1272" s="16" t="s">
        <v>42</v>
      </c>
      <c r="C1272" s="15" t="str">
        <f>"20190114223"</f>
        <v>20190114223</v>
      </c>
      <c r="D1272" s="17">
        <v>56.5</v>
      </c>
    </row>
    <row r="1273" spans="1:4" ht="21.75" customHeight="1">
      <c r="A1273" s="15" t="s">
        <v>41</v>
      </c>
      <c r="B1273" s="16" t="s">
        <v>42</v>
      </c>
      <c r="C1273" s="15" t="str">
        <f>"20190114224"</f>
        <v>20190114224</v>
      </c>
      <c r="D1273" s="17">
        <v>66.5</v>
      </c>
    </row>
    <row r="1274" spans="1:4" ht="21.75" customHeight="1">
      <c r="A1274" s="15" t="s">
        <v>41</v>
      </c>
      <c r="B1274" s="16" t="s">
        <v>42</v>
      </c>
      <c r="C1274" s="15" t="str">
        <f>"20190114225"</f>
        <v>20190114225</v>
      </c>
      <c r="D1274" s="17">
        <v>54.5</v>
      </c>
    </row>
    <row r="1275" spans="1:4" ht="21.75" customHeight="1">
      <c r="A1275" s="15" t="s">
        <v>41</v>
      </c>
      <c r="B1275" s="16" t="s">
        <v>42</v>
      </c>
      <c r="C1275" s="15" t="str">
        <f>"20190114226"</f>
        <v>20190114226</v>
      </c>
      <c r="D1275" s="17">
        <v>66.5</v>
      </c>
    </row>
    <row r="1276" spans="1:4" ht="21.75" customHeight="1">
      <c r="A1276" s="15" t="s">
        <v>41</v>
      </c>
      <c r="B1276" s="16" t="s">
        <v>42</v>
      </c>
      <c r="C1276" s="15" t="str">
        <f>"20190114227"</f>
        <v>20190114227</v>
      </c>
      <c r="D1276" s="17">
        <v>69</v>
      </c>
    </row>
    <row r="1277" spans="1:4" ht="21.75" customHeight="1">
      <c r="A1277" s="15" t="s">
        <v>41</v>
      </c>
      <c r="B1277" s="16" t="s">
        <v>42</v>
      </c>
      <c r="C1277" s="15" t="str">
        <f>"20190114228"</f>
        <v>20190114228</v>
      </c>
      <c r="D1277" s="17">
        <v>51</v>
      </c>
    </row>
    <row r="1278" spans="1:4" ht="21.75" customHeight="1">
      <c r="A1278" s="15" t="s">
        <v>41</v>
      </c>
      <c r="B1278" s="16" t="s">
        <v>42</v>
      </c>
      <c r="C1278" s="15" t="str">
        <f>"20190114229"</f>
        <v>20190114229</v>
      </c>
      <c r="D1278" s="17">
        <v>59.5</v>
      </c>
    </row>
    <row r="1279" spans="1:4" ht="21.75" customHeight="1">
      <c r="A1279" s="15" t="s">
        <v>41</v>
      </c>
      <c r="B1279" s="16" t="s">
        <v>42</v>
      </c>
      <c r="C1279" s="15" t="str">
        <f>"20190114230"</f>
        <v>20190114230</v>
      </c>
      <c r="D1279" s="17" t="s">
        <v>12</v>
      </c>
    </row>
    <row r="1280" spans="1:4" ht="21.75" customHeight="1">
      <c r="A1280" s="15" t="s">
        <v>41</v>
      </c>
      <c r="B1280" s="16" t="s">
        <v>42</v>
      </c>
      <c r="C1280" s="15" t="str">
        <f>"20190114301"</f>
        <v>20190114301</v>
      </c>
      <c r="D1280" s="17" t="s">
        <v>12</v>
      </c>
    </row>
    <row r="1281" spans="1:4" ht="21.75" customHeight="1">
      <c r="A1281" s="15" t="s">
        <v>41</v>
      </c>
      <c r="B1281" s="16" t="s">
        <v>42</v>
      </c>
      <c r="C1281" s="15" t="str">
        <f>"20190114302"</f>
        <v>20190114302</v>
      </c>
      <c r="D1281" s="17" t="s">
        <v>12</v>
      </c>
    </row>
    <row r="1282" spans="1:4" ht="21.75" customHeight="1">
      <c r="A1282" s="15" t="s">
        <v>41</v>
      </c>
      <c r="B1282" s="16" t="s">
        <v>42</v>
      </c>
      <c r="C1282" s="15" t="str">
        <f>"20190114303"</f>
        <v>20190114303</v>
      </c>
      <c r="D1282" s="17">
        <v>64</v>
      </c>
    </row>
    <row r="1283" spans="1:4" ht="21.75" customHeight="1">
      <c r="A1283" s="15" t="s">
        <v>41</v>
      </c>
      <c r="B1283" s="16" t="s">
        <v>42</v>
      </c>
      <c r="C1283" s="15" t="str">
        <f>"20190114304"</f>
        <v>20190114304</v>
      </c>
      <c r="D1283" s="17">
        <v>69.5</v>
      </c>
    </row>
    <row r="1284" spans="1:4" ht="21.75" customHeight="1">
      <c r="A1284" s="15" t="s">
        <v>41</v>
      </c>
      <c r="B1284" s="16" t="s">
        <v>42</v>
      </c>
      <c r="C1284" s="15" t="str">
        <f>"20190114305"</f>
        <v>20190114305</v>
      </c>
      <c r="D1284" s="17">
        <v>52.5</v>
      </c>
    </row>
    <row r="1285" spans="1:4" ht="21.75" customHeight="1">
      <c r="A1285" s="15" t="s">
        <v>41</v>
      </c>
      <c r="B1285" s="16" t="s">
        <v>42</v>
      </c>
      <c r="C1285" s="15" t="str">
        <f>"20190114306"</f>
        <v>20190114306</v>
      </c>
      <c r="D1285" s="17" t="s">
        <v>12</v>
      </c>
    </row>
    <row r="1286" spans="1:4" ht="21.75" customHeight="1">
      <c r="A1286" s="15" t="s">
        <v>41</v>
      </c>
      <c r="B1286" s="16" t="s">
        <v>42</v>
      </c>
      <c r="C1286" s="15" t="str">
        <f>"20190114307"</f>
        <v>20190114307</v>
      </c>
      <c r="D1286" s="17">
        <v>59.5</v>
      </c>
    </row>
    <row r="1287" spans="1:4" ht="21.75" customHeight="1">
      <c r="A1287" s="15" t="s">
        <v>41</v>
      </c>
      <c r="B1287" s="16" t="s">
        <v>42</v>
      </c>
      <c r="C1287" s="15" t="str">
        <f>"20190114308"</f>
        <v>20190114308</v>
      </c>
      <c r="D1287" s="17" t="s">
        <v>12</v>
      </c>
    </row>
    <row r="1288" spans="1:4" ht="21.75" customHeight="1">
      <c r="A1288" s="15" t="s">
        <v>41</v>
      </c>
      <c r="B1288" s="16" t="s">
        <v>42</v>
      </c>
      <c r="C1288" s="15" t="str">
        <f>"20190114309"</f>
        <v>20190114309</v>
      </c>
      <c r="D1288" s="17">
        <v>55</v>
      </c>
    </row>
    <row r="1289" spans="1:4" ht="21.75" customHeight="1">
      <c r="A1289" s="15" t="s">
        <v>41</v>
      </c>
      <c r="B1289" s="16" t="s">
        <v>42</v>
      </c>
      <c r="C1289" s="15" t="str">
        <f>"20190114310"</f>
        <v>20190114310</v>
      </c>
      <c r="D1289" s="17">
        <v>59</v>
      </c>
    </row>
    <row r="1290" spans="1:4" ht="21.75" customHeight="1">
      <c r="A1290" s="15" t="s">
        <v>41</v>
      </c>
      <c r="B1290" s="16" t="s">
        <v>42</v>
      </c>
      <c r="C1290" s="15" t="str">
        <f>"20190114311"</f>
        <v>20190114311</v>
      </c>
      <c r="D1290" s="17">
        <v>55</v>
      </c>
    </row>
    <row r="1291" spans="1:4" ht="21.75" customHeight="1">
      <c r="A1291" s="15" t="s">
        <v>41</v>
      </c>
      <c r="B1291" s="16" t="s">
        <v>42</v>
      </c>
      <c r="C1291" s="15" t="str">
        <f>"20190114312"</f>
        <v>20190114312</v>
      </c>
      <c r="D1291" s="17">
        <v>58.5</v>
      </c>
    </row>
    <row r="1292" spans="1:4" ht="21.75" customHeight="1">
      <c r="A1292" s="15" t="s">
        <v>41</v>
      </c>
      <c r="B1292" s="16" t="s">
        <v>42</v>
      </c>
      <c r="C1292" s="15" t="str">
        <f>"20190114313"</f>
        <v>20190114313</v>
      </c>
      <c r="D1292" s="17">
        <v>51</v>
      </c>
    </row>
    <row r="1293" spans="1:4" ht="21.75" customHeight="1">
      <c r="A1293" s="15" t="s">
        <v>41</v>
      </c>
      <c r="B1293" s="16" t="s">
        <v>42</v>
      </c>
      <c r="C1293" s="15" t="str">
        <f>"20190114314"</f>
        <v>20190114314</v>
      </c>
      <c r="D1293" s="17">
        <v>59</v>
      </c>
    </row>
    <row r="1294" spans="1:4" ht="21.75" customHeight="1">
      <c r="A1294" s="15" t="s">
        <v>41</v>
      </c>
      <c r="B1294" s="16" t="s">
        <v>42</v>
      </c>
      <c r="C1294" s="15" t="str">
        <f>"20190114315"</f>
        <v>20190114315</v>
      </c>
      <c r="D1294" s="17">
        <v>59</v>
      </c>
    </row>
    <row r="1295" spans="1:4" ht="21.75" customHeight="1">
      <c r="A1295" s="15" t="s">
        <v>41</v>
      </c>
      <c r="B1295" s="16" t="s">
        <v>42</v>
      </c>
      <c r="C1295" s="15" t="str">
        <f>"20190114316"</f>
        <v>20190114316</v>
      </c>
      <c r="D1295" s="17" t="s">
        <v>12</v>
      </c>
    </row>
    <row r="1296" spans="1:4" ht="21.75" customHeight="1">
      <c r="A1296" s="15" t="s">
        <v>41</v>
      </c>
      <c r="B1296" s="16" t="s">
        <v>42</v>
      </c>
      <c r="C1296" s="15" t="str">
        <f>"20190114317"</f>
        <v>20190114317</v>
      </c>
      <c r="D1296" s="17">
        <v>60</v>
      </c>
    </row>
    <row r="1297" spans="1:4" ht="21.75" customHeight="1">
      <c r="A1297" s="15" t="s">
        <v>41</v>
      </c>
      <c r="B1297" s="16" t="s">
        <v>42</v>
      </c>
      <c r="C1297" s="15" t="str">
        <f>"20190114318"</f>
        <v>20190114318</v>
      </c>
      <c r="D1297" s="17">
        <v>66.5</v>
      </c>
    </row>
    <row r="1298" spans="1:4" ht="21.75" customHeight="1">
      <c r="A1298" s="15" t="s">
        <v>41</v>
      </c>
      <c r="B1298" s="16" t="s">
        <v>42</v>
      </c>
      <c r="C1298" s="15" t="str">
        <f>"20190114319"</f>
        <v>20190114319</v>
      </c>
      <c r="D1298" s="17">
        <v>55.5</v>
      </c>
    </row>
    <row r="1299" spans="1:4" ht="21.75" customHeight="1">
      <c r="A1299" s="15" t="s">
        <v>41</v>
      </c>
      <c r="B1299" s="16" t="s">
        <v>42</v>
      </c>
      <c r="C1299" s="15" t="str">
        <f>"20190114320"</f>
        <v>20190114320</v>
      </c>
      <c r="D1299" s="17">
        <v>58.5</v>
      </c>
    </row>
    <row r="1300" spans="1:4" ht="21.75" customHeight="1">
      <c r="A1300" s="15" t="s">
        <v>41</v>
      </c>
      <c r="B1300" s="16" t="s">
        <v>42</v>
      </c>
      <c r="C1300" s="15" t="str">
        <f>"20190114321"</f>
        <v>20190114321</v>
      </c>
      <c r="D1300" s="17">
        <v>58.5</v>
      </c>
    </row>
    <row r="1301" spans="1:4" ht="21.75" customHeight="1">
      <c r="A1301" s="15" t="s">
        <v>41</v>
      </c>
      <c r="B1301" s="16" t="s">
        <v>42</v>
      </c>
      <c r="C1301" s="15" t="str">
        <f>"20190114322"</f>
        <v>20190114322</v>
      </c>
      <c r="D1301" s="17">
        <v>59.5</v>
      </c>
    </row>
    <row r="1302" spans="1:4" ht="21.75" customHeight="1">
      <c r="A1302" s="15" t="s">
        <v>41</v>
      </c>
      <c r="B1302" s="16" t="s">
        <v>42</v>
      </c>
      <c r="C1302" s="15" t="str">
        <f>"20190114323"</f>
        <v>20190114323</v>
      </c>
      <c r="D1302" s="17" t="s">
        <v>12</v>
      </c>
    </row>
    <row r="1303" spans="1:4" ht="21.75" customHeight="1">
      <c r="A1303" s="15" t="s">
        <v>41</v>
      </c>
      <c r="B1303" s="16" t="s">
        <v>42</v>
      </c>
      <c r="C1303" s="15" t="str">
        <f>"20190114324"</f>
        <v>20190114324</v>
      </c>
      <c r="D1303" s="17">
        <v>62</v>
      </c>
    </row>
    <row r="1304" spans="1:4" ht="21.75" customHeight="1">
      <c r="A1304" s="15" t="s">
        <v>41</v>
      </c>
      <c r="B1304" s="16" t="s">
        <v>42</v>
      </c>
      <c r="C1304" s="15" t="str">
        <f>"20190114325"</f>
        <v>20190114325</v>
      </c>
      <c r="D1304" s="17">
        <v>72.5</v>
      </c>
    </row>
    <row r="1305" spans="1:4" ht="21.75" customHeight="1">
      <c r="A1305" s="15" t="s">
        <v>41</v>
      </c>
      <c r="B1305" s="16" t="s">
        <v>42</v>
      </c>
      <c r="C1305" s="15" t="str">
        <f>"20190114326"</f>
        <v>20190114326</v>
      </c>
      <c r="D1305" s="17">
        <v>66.5</v>
      </c>
    </row>
    <row r="1306" spans="1:5" ht="21.75" customHeight="1">
      <c r="A1306" s="15" t="s">
        <v>41</v>
      </c>
      <c r="B1306" s="16" t="s">
        <v>42</v>
      </c>
      <c r="C1306" s="15" t="str">
        <f>"20190114327"</f>
        <v>20190114327</v>
      </c>
      <c r="D1306" s="17">
        <v>67.5</v>
      </c>
      <c r="E1306" s="19"/>
    </row>
    <row r="1307" spans="1:5" ht="21.75" customHeight="1">
      <c r="A1307" s="15" t="s">
        <v>41</v>
      </c>
      <c r="B1307" s="16" t="s">
        <v>42</v>
      </c>
      <c r="C1307" s="15" t="str">
        <f>"20190114328"</f>
        <v>20190114328</v>
      </c>
      <c r="D1307" s="17">
        <v>61</v>
      </c>
      <c r="E1307" s="19"/>
    </row>
    <row r="1308" spans="1:5" ht="21.75" customHeight="1">
      <c r="A1308" s="15" t="s">
        <v>41</v>
      </c>
      <c r="B1308" s="16" t="s">
        <v>42</v>
      </c>
      <c r="C1308" s="15" t="str">
        <f>"20190114329"</f>
        <v>20190114329</v>
      </c>
      <c r="D1308" s="17">
        <v>64</v>
      </c>
      <c r="E1308" s="19"/>
    </row>
    <row r="1309" spans="1:5" ht="21.75" customHeight="1">
      <c r="A1309" s="15" t="s">
        <v>41</v>
      </c>
      <c r="B1309" s="16" t="s">
        <v>42</v>
      </c>
      <c r="C1309" s="15" t="str">
        <f>"20190114330"</f>
        <v>20190114330</v>
      </c>
      <c r="D1309" s="17">
        <v>57</v>
      </c>
      <c r="E1309" s="19"/>
    </row>
    <row r="1310" spans="1:5" ht="21.75" customHeight="1">
      <c r="A1310" s="15" t="s">
        <v>41</v>
      </c>
      <c r="B1310" s="16" t="s">
        <v>42</v>
      </c>
      <c r="C1310" s="15" t="str">
        <f>"20190114401"</f>
        <v>20190114401</v>
      </c>
      <c r="D1310" s="17">
        <v>63</v>
      </c>
      <c r="E1310" s="19"/>
    </row>
    <row r="1311" spans="1:5" ht="21.75" customHeight="1">
      <c r="A1311" s="15" t="s">
        <v>41</v>
      </c>
      <c r="B1311" s="16" t="s">
        <v>42</v>
      </c>
      <c r="C1311" s="15" t="str">
        <f>"20190114402"</f>
        <v>20190114402</v>
      </c>
      <c r="D1311" s="17" t="s">
        <v>12</v>
      </c>
      <c r="E1311" s="19"/>
    </row>
    <row r="1312" spans="1:4" ht="21.75" customHeight="1">
      <c r="A1312" s="15" t="s">
        <v>41</v>
      </c>
      <c r="B1312" s="16" t="s">
        <v>42</v>
      </c>
      <c r="C1312" s="15" t="str">
        <f>"20190114403"</f>
        <v>20190114403</v>
      </c>
      <c r="D1312" s="17">
        <v>63</v>
      </c>
    </row>
    <row r="1313" spans="1:4" ht="21.75" customHeight="1">
      <c r="A1313" s="15" t="s">
        <v>41</v>
      </c>
      <c r="B1313" s="16" t="s">
        <v>42</v>
      </c>
      <c r="C1313" s="15" t="str">
        <f>"20190114404"</f>
        <v>20190114404</v>
      </c>
      <c r="D1313" s="17">
        <v>64</v>
      </c>
    </row>
    <row r="1314" spans="1:4" ht="21.75" customHeight="1">
      <c r="A1314" s="15" t="s">
        <v>41</v>
      </c>
      <c r="B1314" s="16" t="s">
        <v>42</v>
      </c>
      <c r="C1314" s="15" t="str">
        <f>"20190114405"</f>
        <v>20190114405</v>
      </c>
      <c r="D1314" s="17">
        <v>56</v>
      </c>
    </row>
    <row r="1315" spans="1:4" ht="21.75" customHeight="1">
      <c r="A1315" s="15" t="s">
        <v>41</v>
      </c>
      <c r="B1315" s="16" t="s">
        <v>42</v>
      </c>
      <c r="C1315" s="15" t="str">
        <f>"20190114406"</f>
        <v>20190114406</v>
      </c>
      <c r="D1315" s="17">
        <v>62.5</v>
      </c>
    </row>
    <row r="1316" spans="1:4" ht="21.75" customHeight="1">
      <c r="A1316" s="15" t="s">
        <v>41</v>
      </c>
      <c r="B1316" s="16" t="s">
        <v>42</v>
      </c>
      <c r="C1316" s="15" t="str">
        <f>"20190114407"</f>
        <v>20190114407</v>
      </c>
      <c r="D1316" s="17">
        <v>46</v>
      </c>
    </row>
    <row r="1317" spans="1:4" ht="21.75" customHeight="1">
      <c r="A1317" s="15" t="s">
        <v>41</v>
      </c>
      <c r="B1317" s="16" t="s">
        <v>42</v>
      </c>
      <c r="C1317" s="15" t="str">
        <f>"20190114408"</f>
        <v>20190114408</v>
      </c>
      <c r="D1317" s="17">
        <v>61.5</v>
      </c>
    </row>
    <row r="1318" spans="1:4" ht="21.75" customHeight="1">
      <c r="A1318" s="15" t="s">
        <v>41</v>
      </c>
      <c r="B1318" s="16" t="s">
        <v>42</v>
      </c>
      <c r="C1318" s="15" t="str">
        <f>"20190114409"</f>
        <v>20190114409</v>
      </c>
      <c r="D1318" s="17">
        <v>67.5</v>
      </c>
    </row>
    <row r="1319" spans="1:4" ht="21.75" customHeight="1">
      <c r="A1319" s="15" t="s">
        <v>41</v>
      </c>
      <c r="B1319" s="16" t="s">
        <v>42</v>
      </c>
      <c r="C1319" s="15" t="str">
        <f>"20190114410"</f>
        <v>20190114410</v>
      </c>
      <c r="D1319" s="17">
        <v>50</v>
      </c>
    </row>
    <row r="1320" spans="1:4" ht="21.75" customHeight="1">
      <c r="A1320" s="15" t="s">
        <v>41</v>
      </c>
      <c r="B1320" s="16" t="s">
        <v>42</v>
      </c>
      <c r="C1320" s="15" t="str">
        <f>"20190114411"</f>
        <v>20190114411</v>
      </c>
      <c r="D1320" s="17" t="s">
        <v>12</v>
      </c>
    </row>
    <row r="1321" spans="1:4" ht="21.75" customHeight="1">
      <c r="A1321" s="15" t="s">
        <v>41</v>
      </c>
      <c r="B1321" s="16" t="s">
        <v>42</v>
      </c>
      <c r="C1321" s="15" t="str">
        <f>"20190114412"</f>
        <v>20190114412</v>
      </c>
      <c r="D1321" s="17">
        <v>61</v>
      </c>
    </row>
    <row r="1322" spans="1:4" ht="21.75" customHeight="1">
      <c r="A1322" s="15" t="s">
        <v>41</v>
      </c>
      <c r="B1322" s="16" t="s">
        <v>42</v>
      </c>
      <c r="C1322" s="15" t="str">
        <f>"20190114413"</f>
        <v>20190114413</v>
      </c>
      <c r="D1322" s="17">
        <v>66</v>
      </c>
    </row>
    <row r="1323" spans="1:4" ht="21.75" customHeight="1">
      <c r="A1323" s="15" t="s">
        <v>41</v>
      </c>
      <c r="B1323" s="16" t="s">
        <v>42</v>
      </c>
      <c r="C1323" s="15" t="str">
        <f>"20190114414"</f>
        <v>20190114414</v>
      </c>
      <c r="D1323" s="17">
        <v>63</v>
      </c>
    </row>
    <row r="1324" spans="1:4" ht="21.75" customHeight="1">
      <c r="A1324" s="15" t="s">
        <v>41</v>
      </c>
      <c r="B1324" s="16" t="s">
        <v>42</v>
      </c>
      <c r="C1324" s="15" t="str">
        <f>"20190114415"</f>
        <v>20190114415</v>
      </c>
      <c r="D1324" s="17">
        <v>57</v>
      </c>
    </row>
    <row r="1325" spans="1:4" ht="21.75" customHeight="1">
      <c r="A1325" s="15" t="s">
        <v>41</v>
      </c>
      <c r="B1325" s="16" t="s">
        <v>42</v>
      </c>
      <c r="C1325" s="15" t="str">
        <f>"20190114416"</f>
        <v>20190114416</v>
      </c>
      <c r="D1325" s="17">
        <v>51.5</v>
      </c>
    </row>
    <row r="1326" spans="1:4" ht="21.75" customHeight="1">
      <c r="A1326" s="15" t="s">
        <v>41</v>
      </c>
      <c r="B1326" s="16" t="s">
        <v>42</v>
      </c>
      <c r="C1326" s="15" t="str">
        <f>"20190114417"</f>
        <v>20190114417</v>
      </c>
      <c r="D1326" s="17" t="s">
        <v>12</v>
      </c>
    </row>
    <row r="1327" spans="1:4" ht="21.75" customHeight="1">
      <c r="A1327" s="15" t="s">
        <v>41</v>
      </c>
      <c r="B1327" s="16" t="s">
        <v>42</v>
      </c>
      <c r="C1327" s="15" t="str">
        <f>"20190114418"</f>
        <v>20190114418</v>
      </c>
      <c r="D1327" s="17" t="s">
        <v>12</v>
      </c>
    </row>
    <row r="1328" spans="1:4" ht="21.75" customHeight="1">
      <c r="A1328" s="15" t="s">
        <v>41</v>
      </c>
      <c r="B1328" s="16" t="s">
        <v>42</v>
      </c>
      <c r="C1328" s="15" t="str">
        <f>"20190114419"</f>
        <v>20190114419</v>
      </c>
      <c r="D1328" s="17">
        <v>64.5</v>
      </c>
    </row>
    <row r="1329" spans="1:4" ht="21.75" customHeight="1">
      <c r="A1329" s="15" t="s">
        <v>41</v>
      </c>
      <c r="B1329" s="16" t="s">
        <v>42</v>
      </c>
      <c r="C1329" s="15" t="str">
        <f>"20190114420"</f>
        <v>20190114420</v>
      </c>
      <c r="D1329" s="17">
        <v>58.5</v>
      </c>
    </row>
    <row r="1330" spans="1:4" ht="21.75" customHeight="1">
      <c r="A1330" s="15" t="s">
        <v>41</v>
      </c>
      <c r="B1330" s="16" t="s">
        <v>42</v>
      </c>
      <c r="C1330" s="15" t="str">
        <f>"20190114421"</f>
        <v>20190114421</v>
      </c>
      <c r="D1330" s="17">
        <v>63.5</v>
      </c>
    </row>
    <row r="1331" spans="1:4" ht="21.75" customHeight="1">
      <c r="A1331" s="15" t="s">
        <v>41</v>
      </c>
      <c r="B1331" s="16" t="s">
        <v>42</v>
      </c>
      <c r="C1331" s="15" t="str">
        <f>"20190114422"</f>
        <v>20190114422</v>
      </c>
      <c r="D1331" s="17">
        <v>60</v>
      </c>
    </row>
    <row r="1332" spans="1:4" ht="21.75" customHeight="1">
      <c r="A1332" s="15" t="s">
        <v>41</v>
      </c>
      <c r="B1332" s="16" t="s">
        <v>42</v>
      </c>
      <c r="C1332" s="15" t="str">
        <f>"20190114423"</f>
        <v>20190114423</v>
      </c>
      <c r="D1332" s="17">
        <v>61</v>
      </c>
    </row>
    <row r="1333" spans="1:4" ht="21.75" customHeight="1">
      <c r="A1333" s="15" t="s">
        <v>41</v>
      </c>
      <c r="B1333" s="16" t="s">
        <v>42</v>
      </c>
      <c r="C1333" s="15" t="str">
        <f>"20190114424"</f>
        <v>20190114424</v>
      </c>
      <c r="D1333" s="17">
        <v>53</v>
      </c>
    </row>
    <row r="1334" spans="1:4" ht="21.75" customHeight="1">
      <c r="A1334" s="15" t="s">
        <v>41</v>
      </c>
      <c r="B1334" s="16" t="s">
        <v>42</v>
      </c>
      <c r="C1334" s="15" t="str">
        <f>"20190114425"</f>
        <v>20190114425</v>
      </c>
      <c r="D1334" s="17">
        <v>53.5</v>
      </c>
    </row>
    <row r="1335" spans="1:4" ht="21.75" customHeight="1">
      <c r="A1335" s="15" t="s">
        <v>41</v>
      </c>
      <c r="B1335" s="16" t="s">
        <v>42</v>
      </c>
      <c r="C1335" s="15" t="str">
        <f>"20190114426"</f>
        <v>20190114426</v>
      </c>
      <c r="D1335" s="17" t="s">
        <v>12</v>
      </c>
    </row>
    <row r="1336" spans="1:4" ht="21.75" customHeight="1">
      <c r="A1336" s="15" t="s">
        <v>41</v>
      </c>
      <c r="B1336" s="16" t="s">
        <v>42</v>
      </c>
      <c r="C1336" s="15" t="str">
        <f>"20190114427"</f>
        <v>20190114427</v>
      </c>
      <c r="D1336" s="17">
        <v>55.5</v>
      </c>
    </row>
    <row r="1337" spans="1:4" ht="21.75" customHeight="1">
      <c r="A1337" s="15" t="s">
        <v>41</v>
      </c>
      <c r="B1337" s="16" t="s">
        <v>42</v>
      </c>
      <c r="C1337" s="15" t="str">
        <f>"20190114428"</f>
        <v>20190114428</v>
      </c>
      <c r="D1337" s="17">
        <v>49</v>
      </c>
    </row>
    <row r="1338" spans="1:4" ht="21.75" customHeight="1">
      <c r="A1338" s="15" t="s">
        <v>41</v>
      </c>
      <c r="B1338" s="16" t="s">
        <v>42</v>
      </c>
      <c r="C1338" s="15" t="str">
        <f>"20190114429"</f>
        <v>20190114429</v>
      </c>
      <c r="D1338" s="17">
        <v>64.5</v>
      </c>
    </row>
    <row r="1339" spans="1:4" ht="21.75" customHeight="1">
      <c r="A1339" s="15" t="s">
        <v>41</v>
      </c>
      <c r="B1339" s="16" t="s">
        <v>42</v>
      </c>
      <c r="C1339" s="15" t="str">
        <f>"20190114430"</f>
        <v>20190114430</v>
      </c>
      <c r="D1339" s="17">
        <v>55.5</v>
      </c>
    </row>
    <row r="1340" spans="1:4" ht="21.75" customHeight="1">
      <c r="A1340" s="15" t="s">
        <v>41</v>
      </c>
      <c r="B1340" s="16" t="s">
        <v>42</v>
      </c>
      <c r="C1340" s="15" t="str">
        <f>"20190114501"</f>
        <v>20190114501</v>
      </c>
      <c r="D1340" s="17">
        <v>56</v>
      </c>
    </row>
    <row r="1341" spans="1:4" ht="21.75" customHeight="1">
      <c r="A1341" s="15" t="s">
        <v>41</v>
      </c>
      <c r="B1341" s="16" t="s">
        <v>42</v>
      </c>
      <c r="C1341" s="15" t="str">
        <f>"20190114502"</f>
        <v>20190114502</v>
      </c>
      <c r="D1341" s="17" t="s">
        <v>12</v>
      </c>
    </row>
    <row r="1342" spans="1:4" ht="21.75" customHeight="1">
      <c r="A1342" s="15" t="s">
        <v>41</v>
      </c>
      <c r="B1342" s="16" t="s">
        <v>42</v>
      </c>
      <c r="C1342" s="15" t="str">
        <f>"20190114503"</f>
        <v>20190114503</v>
      </c>
      <c r="D1342" s="17">
        <v>48</v>
      </c>
    </row>
    <row r="1343" spans="1:4" ht="21.75" customHeight="1">
      <c r="A1343" s="15" t="s">
        <v>41</v>
      </c>
      <c r="B1343" s="16" t="s">
        <v>42</v>
      </c>
      <c r="C1343" s="15" t="str">
        <f>"20190114504"</f>
        <v>20190114504</v>
      </c>
      <c r="D1343" s="17">
        <v>64</v>
      </c>
    </row>
    <row r="1344" spans="1:4" ht="21.75" customHeight="1">
      <c r="A1344" s="15" t="s">
        <v>41</v>
      </c>
      <c r="B1344" s="16" t="s">
        <v>42</v>
      </c>
      <c r="C1344" s="15" t="str">
        <f>"20190114505"</f>
        <v>20190114505</v>
      </c>
      <c r="D1344" s="17">
        <v>53.5</v>
      </c>
    </row>
    <row r="1345" spans="1:4" ht="21.75" customHeight="1">
      <c r="A1345" s="15" t="s">
        <v>41</v>
      </c>
      <c r="B1345" s="16" t="s">
        <v>42</v>
      </c>
      <c r="C1345" s="15" t="str">
        <f>"20190114506"</f>
        <v>20190114506</v>
      </c>
      <c r="D1345" s="17">
        <v>55.5</v>
      </c>
    </row>
    <row r="1346" spans="1:4" ht="21.75" customHeight="1">
      <c r="A1346" s="15" t="s">
        <v>41</v>
      </c>
      <c r="B1346" s="16" t="s">
        <v>42</v>
      </c>
      <c r="C1346" s="15" t="str">
        <f>"20190114507"</f>
        <v>20190114507</v>
      </c>
      <c r="D1346" s="17">
        <v>57</v>
      </c>
    </row>
    <row r="1347" spans="1:4" ht="21.75" customHeight="1">
      <c r="A1347" s="15" t="s">
        <v>41</v>
      </c>
      <c r="B1347" s="16" t="s">
        <v>42</v>
      </c>
      <c r="C1347" s="15" t="str">
        <f>"20190114508"</f>
        <v>20190114508</v>
      </c>
      <c r="D1347" s="17">
        <v>48</v>
      </c>
    </row>
    <row r="1348" spans="1:4" ht="21.75" customHeight="1">
      <c r="A1348" s="15" t="s">
        <v>41</v>
      </c>
      <c r="B1348" s="16" t="s">
        <v>42</v>
      </c>
      <c r="C1348" s="15" t="str">
        <f>"20190114509"</f>
        <v>20190114509</v>
      </c>
      <c r="D1348" s="17">
        <v>53.5</v>
      </c>
    </row>
    <row r="1349" spans="1:4" ht="21.75" customHeight="1">
      <c r="A1349" s="15" t="s">
        <v>41</v>
      </c>
      <c r="B1349" s="16" t="s">
        <v>42</v>
      </c>
      <c r="C1349" s="15" t="str">
        <f>"20190114510"</f>
        <v>20190114510</v>
      </c>
      <c r="D1349" s="17">
        <v>49.5</v>
      </c>
    </row>
    <row r="1350" spans="1:4" ht="21.75" customHeight="1">
      <c r="A1350" s="15" t="s">
        <v>41</v>
      </c>
      <c r="B1350" s="16" t="s">
        <v>42</v>
      </c>
      <c r="C1350" s="15" t="str">
        <f>"20190114511"</f>
        <v>20190114511</v>
      </c>
      <c r="D1350" s="17">
        <v>60.5</v>
      </c>
    </row>
    <row r="1351" spans="1:4" ht="21.75" customHeight="1">
      <c r="A1351" s="15" t="s">
        <v>41</v>
      </c>
      <c r="B1351" s="16" t="s">
        <v>42</v>
      </c>
      <c r="C1351" s="15" t="str">
        <f>"20190114512"</f>
        <v>20190114512</v>
      </c>
      <c r="D1351" s="17">
        <v>50</v>
      </c>
    </row>
    <row r="1352" spans="1:4" ht="21.75" customHeight="1">
      <c r="A1352" s="15" t="s">
        <v>41</v>
      </c>
      <c r="B1352" s="16" t="s">
        <v>42</v>
      </c>
      <c r="C1352" s="15" t="str">
        <f>"20190114513"</f>
        <v>20190114513</v>
      </c>
      <c r="D1352" s="17">
        <v>46</v>
      </c>
    </row>
    <row r="1353" spans="1:4" ht="21.75" customHeight="1">
      <c r="A1353" s="15" t="s">
        <v>41</v>
      </c>
      <c r="B1353" s="16" t="s">
        <v>42</v>
      </c>
      <c r="C1353" s="15" t="str">
        <f>"20190114514"</f>
        <v>20190114514</v>
      </c>
      <c r="D1353" s="17">
        <v>46.5</v>
      </c>
    </row>
    <row r="1354" spans="1:5" ht="21.75" customHeight="1">
      <c r="A1354" s="15" t="s">
        <v>41</v>
      </c>
      <c r="B1354" s="16" t="s">
        <v>42</v>
      </c>
      <c r="C1354" s="15" t="str">
        <f>"20190114515"</f>
        <v>20190114515</v>
      </c>
      <c r="D1354" s="17">
        <v>52.5</v>
      </c>
      <c r="E1354" s="19"/>
    </row>
    <row r="1355" spans="1:5" ht="21.75" customHeight="1">
      <c r="A1355" s="15" t="s">
        <v>41</v>
      </c>
      <c r="B1355" s="16" t="s">
        <v>42</v>
      </c>
      <c r="C1355" s="15" t="str">
        <f>"20190114516"</f>
        <v>20190114516</v>
      </c>
      <c r="D1355" s="17">
        <v>58.5</v>
      </c>
      <c r="E1355" s="19"/>
    </row>
    <row r="1356" spans="1:5" ht="21.75" customHeight="1">
      <c r="A1356" s="15" t="s">
        <v>41</v>
      </c>
      <c r="B1356" s="16" t="s">
        <v>42</v>
      </c>
      <c r="C1356" s="15" t="str">
        <f>"20190114517"</f>
        <v>20190114517</v>
      </c>
      <c r="D1356" s="17">
        <v>59</v>
      </c>
      <c r="E1356" s="19"/>
    </row>
    <row r="1357" spans="1:5" ht="21.75" customHeight="1">
      <c r="A1357" s="15" t="s">
        <v>41</v>
      </c>
      <c r="B1357" s="16" t="s">
        <v>42</v>
      </c>
      <c r="C1357" s="15" t="str">
        <f>"20190114518"</f>
        <v>20190114518</v>
      </c>
      <c r="D1357" s="17" t="s">
        <v>12</v>
      </c>
      <c r="E1357" s="19"/>
    </row>
    <row r="1358" spans="1:5" ht="21.75" customHeight="1">
      <c r="A1358" s="15" t="s">
        <v>41</v>
      </c>
      <c r="B1358" s="16" t="s">
        <v>42</v>
      </c>
      <c r="C1358" s="15" t="str">
        <f>"20190114519"</f>
        <v>20190114519</v>
      </c>
      <c r="D1358" s="17">
        <v>59</v>
      </c>
      <c r="E1358" s="19"/>
    </row>
    <row r="1359" spans="1:5" ht="21.75" customHeight="1">
      <c r="A1359" s="15" t="s">
        <v>41</v>
      </c>
      <c r="B1359" s="16" t="s">
        <v>42</v>
      </c>
      <c r="C1359" s="15" t="str">
        <f>"20190114520"</f>
        <v>20190114520</v>
      </c>
      <c r="D1359" s="17" t="s">
        <v>12</v>
      </c>
      <c r="E1359" s="19"/>
    </row>
    <row r="1360" spans="1:5" ht="21.75" customHeight="1">
      <c r="A1360" s="15" t="s">
        <v>41</v>
      </c>
      <c r="B1360" s="16" t="s">
        <v>42</v>
      </c>
      <c r="C1360" s="15" t="str">
        <f>"20190114521"</f>
        <v>20190114521</v>
      </c>
      <c r="D1360" s="17">
        <v>56.5</v>
      </c>
      <c r="E1360" s="19"/>
    </row>
    <row r="1361" spans="1:4" ht="21.75" customHeight="1">
      <c r="A1361" s="15" t="s">
        <v>41</v>
      </c>
      <c r="B1361" s="16" t="s">
        <v>42</v>
      </c>
      <c r="C1361" s="15" t="str">
        <f>"20190114522"</f>
        <v>20190114522</v>
      </c>
      <c r="D1361" s="17">
        <v>51</v>
      </c>
    </row>
    <row r="1362" spans="1:4" ht="21.75" customHeight="1">
      <c r="A1362" s="15" t="s">
        <v>41</v>
      </c>
      <c r="B1362" s="16" t="s">
        <v>42</v>
      </c>
      <c r="C1362" s="15" t="str">
        <f>"20190114523"</f>
        <v>20190114523</v>
      </c>
      <c r="D1362" s="17" t="s">
        <v>12</v>
      </c>
    </row>
    <row r="1363" spans="1:4" ht="21.75" customHeight="1">
      <c r="A1363" s="15" t="s">
        <v>41</v>
      </c>
      <c r="B1363" s="16" t="s">
        <v>42</v>
      </c>
      <c r="C1363" s="15" t="str">
        <f>"20190114524"</f>
        <v>20190114524</v>
      </c>
      <c r="D1363" s="17">
        <v>55</v>
      </c>
    </row>
    <row r="1364" spans="1:4" ht="21.75" customHeight="1">
      <c r="A1364" s="15" t="s">
        <v>41</v>
      </c>
      <c r="B1364" s="16" t="s">
        <v>42</v>
      </c>
      <c r="C1364" s="15" t="str">
        <f>"20190114525"</f>
        <v>20190114525</v>
      </c>
      <c r="D1364" s="17">
        <v>56</v>
      </c>
    </row>
    <row r="1365" spans="1:4" ht="21.75" customHeight="1">
      <c r="A1365" s="15" t="s">
        <v>41</v>
      </c>
      <c r="B1365" s="16" t="s">
        <v>42</v>
      </c>
      <c r="C1365" s="15" t="str">
        <f>"20190114526"</f>
        <v>20190114526</v>
      </c>
      <c r="D1365" s="17" t="s">
        <v>12</v>
      </c>
    </row>
    <row r="1366" spans="1:4" ht="21.75" customHeight="1">
      <c r="A1366" s="15" t="s">
        <v>41</v>
      </c>
      <c r="B1366" s="16" t="s">
        <v>42</v>
      </c>
      <c r="C1366" s="15" t="str">
        <f>"20190114527"</f>
        <v>20190114527</v>
      </c>
      <c r="D1366" s="17">
        <v>54.5</v>
      </c>
    </row>
    <row r="1367" spans="1:4" ht="21.75" customHeight="1">
      <c r="A1367" s="15" t="s">
        <v>41</v>
      </c>
      <c r="B1367" s="16" t="s">
        <v>42</v>
      </c>
      <c r="C1367" s="15" t="str">
        <f>"20190114528"</f>
        <v>20190114528</v>
      </c>
      <c r="D1367" s="17">
        <v>59</v>
      </c>
    </row>
    <row r="1368" spans="1:4" ht="21.75" customHeight="1">
      <c r="A1368" s="15" t="s">
        <v>41</v>
      </c>
      <c r="B1368" s="16" t="s">
        <v>42</v>
      </c>
      <c r="C1368" s="15" t="str">
        <f>"20190114529"</f>
        <v>20190114529</v>
      </c>
      <c r="D1368" s="17">
        <v>61</v>
      </c>
    </row>
    <row r="1369" spans="1:4" ht="21.75" customHeight="1">
      <c r="A1369" s="15" t="s">
        <v>41</v>
      </c>
      <c r="B1369" s="16" t="s">
        <v>42</v>
      </c>
      <c r="C1369" s="15" t="str">
        <f>"20190114530"</f>
        <v>20190114530</v>
      </c>
      <c r="D1369" s="17" t="s">
        <v>12</v>
      </c>
    </row>
    <row r="1370" spans="1:4" ht="21.75" customHeight="1">
      <c r="A1370" s="15" t="s">
        <v>41</v>
      </c>
      <c r="B1370" s="16" t="s">
        <v>42</v>
      </c>
      <c r="C1370" s="15" t="str">
        <f>"20190114601"</f>
        <v>20190114601</v>
      </c>
      <c r="D1370" s="17" t="s">
        <v>12</v>
      </c>
    </row>
    <row r="1371" spans="1:5" ht="21.75" customHeight="1">
      <c r="A1371" s="15" t="s">
        <v>41</v>
      </c>
      <c r="B1371" s="16" t="s">
        <v>42</v>
      </c>
      <c r="C1371" s="15" t="str">
        <f>"20190114602"</f>
        <v>20190114602</v>
      </c>
      <c r="D1371" s="17">
        <v>51.5</v>
      </c>
      <c r="E1371" s="19"/>
    </row>
    <row r="1372" spans="1:5" ht="21.75" customHeight="1">
      <c r="A1372" s="15" t="s">
        <v>41</v>
      </c>
      <c r="B1372" s="16" t="s">
        <v>42</v>
      </c>
      <c r="C1372" s="15" t="str">
        <f>"20190114603"</f>
        <v>20190114603</v>
      </c>
      <c r="D1372" s="17">
        <v>60.5</v>
      </c>
      <c r="E1372" s="19"/>
    </row>
    <row r="1373" spans="1:5" ht="21.75" customHeight="1">
      <c r="A1373" s="15" t="s">
        <v>41</v>
      </c>
      <c r="B1373" s="16" t="s">
        <v>42</v>
      </c>
      <c r="C1373" s="15" t="str">
        <f>"20190114604"</f>
        <v>20190114604</v>
      </c>
      <c r="D1373" s="17">
        <v>65.5</v>
      </c>
      <c r="E1373" s="19"/>
    </row>
    <row r="1374" spans="1:4" ht="21.75" customHeight="1">
      <c r="A1374" s="15" t="s">
        <v>41</v>
      </c>
      <c r="B1374" s="16" t="s">
        <v>42</v>
      </c>
      <c r="C1374" s="15" t="str">
        <f>"20190114605"</f>
        <v>20190114605</v>
      </c>
      <c r="D1374" s="17" t="s">
        <v>12</v>
      </c>
    </row>
    <row r="1375" spans="1:4" ht="21.75" customHeight="1">
      <c r="A1375" s="15" t="s">
        <v>41</v>
      </c>
      <c r="B1375" s="16" t="s">
        <v>42</v>
      </c>
      <c r="C1375" s="15" t="str">
        <f>"20190114606"</f>
        <v>20190114606</v>
      </c>
      <c r="D1375" s="17">
        <v>68.5</v>
      </c>
    </row>
    <row r="1376" spans="1:4" ht="21.75" customHeight="1">
      <c r="A1376" s="15" t="s">
        <v>41</v>
      </c>
      <c r="B1376" s="16" t="s">
        <v>42</v>
      </c>
      <c r="C1376" s="15" t="str">
        <f>"20190114607"</f>
        <v>20190114607</v>
      </c>
      <c r="D1376" s="17">
        <v>53.5</v>
      </c>
    </row>
    <row r="1377" spans="1:4" ht="21.75" customHeight="1">
      <c r="A1377" s="15" t="s">
        <v>41</v>
      </c>
      <c r="B1377" s="16" t="s">
        <v>42</v>
      </c>
      <c r="C1377" s="15" t="str">
        <f>"20190114608"</f>
        <v>20190114608</v>
      </c>
      <c r="D1377" s="17" t="s">
        <v>12</v>
      </c>
    </row>
    <row r="1378" spans="1:4" ht="21.75" customHeight="1">
      <c r="A1378" s="15" t="s">
        <v>41</v>
      </c>
      <c r="B1378" s="16" t="s">
        <v>42</v>
      </c>
      <c r="C1378" s="15" t="str">
        <f>"20190114609"</f>
        <v>20190114609</v>
      </c>
      <c r="D1378" s="17">
        <v>59</v>
      </c>
    </row>
    <row r="1379" spans="1:4" ht="21.75" customHeight="1">
      <c r="A1379" s="15" t="s">
        <v>41</v>
      </c>
      <c r="B1379" s="16" t="s">
        <v>42</v>
      </c>
      <c r="C1379" s="15" t="str">
        <f>"20190114610"</f>
        <v>20190114610</v>
      </c>
      <c r="D1379" s="17">
        <v>58.5</v>
      </c>
    </row>
    <row r="1380" spans="1:5" ht="21.75" customHeight="1">
      <c r="A1380" s="15" t="s">
        <v>41</v>
      </c>
      <c r="B1380" s="16" t="s">
        <v>42</v>
      </c>
      <c r="C1380" s="15" t="str">
        <f>"20190114611"</f>
        <v>20190114611</v>
      </c>
      <c r="D1380" s="17">
        <v>61</v>
      </c>
      <c r="E1380" s="19"/>
    </row>
    <row r="1381" spans="1:5" ht="21.75" customHeight="1">
      <c r="A1381" s="15" t="s">
        <v>41</v>
      </c>
      <c r="B1381" s="16" t="s">
        <v>42</v>
      </c>
      <c r="C1381" s="15" t="str">
        <f>"20190114612"</f>
        <v>20190114612</v>
      </c>
      <c r="D1381" s="17">
        <v>53</v>
      </c>
      <c r="E1381" s="19"/>
    </row>
    <row r="1382" spans="1:5" ht="21.75" customHeight="1">
      <c r="A1382" s="15" t="s">
        <v>41</v>
      </c>
      <c r="B1382" s="16" t="s">
        <v>42</v>
      </c>
      <c r="C1382" s="15" t="str">
        <f>"20190114613"</f>
        <v>20190114613</v>
      </c>
      <c r="D1382" s="17" t="s">
        <v>12</v>
      </c>
      <c r="E1382" s="19"/>
    </row>
    <row r="1383" spans="1:4" ht="21.75" customHeight="1">
      <c r="A1383" s="15" t="s">
        <v>41</v>
      </c>
      <c r="B1383" s="16" t="s">
        <v>42</v>
      </c>
      <c r="C1383" s="15" t="str">
        <f>"20190114614"</f>
        <v>20190114614</v>
      </c>
      <c r="D1383" s="17">
        <v>64.5</v>
      </c>
    </row>
    <row r="1384" spans="1:4" ht="21.75" customHeight="1">
      <c r="A1384" s="15" t="s">
        <v>43</v>
      </c>
      <c r="B1384" s="16" t="s">
        <v>44</v>
      </c>
      <c r="C1384" s="15" t="str">
        <f>"20190114615"</f>
        <v>20190114615</v>
      </c>
      <c r="D1384" s="17">
        <v>63</v>
      </c>
    </row>
    <row r="1385" spans="1:4" ht="21.75" customHeight="1">
      <c r="A1385" s="15" t="s">
        <v>43</v>
      </c>
      <c r="B1385" s="16" t="s">
        <v>44</v>
      </c>
      <c r="C1385" s="15" t="str">
        <f>"20190114616"</f>
        <v>20190114616</v>
      </c>
      <c r="D1385" s="17">
        <v>54.5</v>
      </c>
    </row>
    <row r="1386" spans="1:4" ht="21.75" customHeight="1">
      <c r="A1386" s="15" t="s">
        <v>43</v>
      </c>
      <c r="B1386" s="16" t="s">
        <v>44</v>
      </c>
      <c r="C1386" s="15" t="str">
        <f>"20190114617"</f>
        <v>20190114617</v>
      </c>
      <c r="D1386" s="17">
        <v>59.5</v>
      </c>
    </row>
    <row r="1387" spans="1:4" ht="21.75" customHeight="1">
      <c r="A1387" s="15" t="s">
        <v>43</v>
      </c>
      <c r="B1387" s="16" t="s">
        <v>44</v>
      </c>
      <c r="C1387" s="15" t="str">
        <f>"20190114618"</f>
        <v>20190114618</v>
      </c>
      <c r="D1387" s="17">
        <v>57.5</v>
      </c>
    </row>
    <row r="1388" spans="1:4" ht="21.75" customHeight="1">
      <c r="A1388" s="15" t="s">
        <v>43</v>
      </c>
      <c r="B1388" s="16" t="s">
        <v>44</v>
      </c>
      <c r="C1388" s="15" t="str">
        <f>"20190114619"</f>
        <v>20190114619</v>
      </c>
      <c r="D1388" s="17">
        <v>59</v>
      </c>
    </row>
    <row r="1389" spans="1:4" ht="21.75" customHeight="1">
      <c r="A1389" s="15" t="s">
        <v>43</v>
      </c>
      <c r="B1389" s="16" t="s">
        <v>44</v>
      </c>
      <c r="C1389" s="15" t="str">
        <f>"20190114620"</f>
        <v>20190114620</v>
      </c>
      <c r="D1389" s="17">
        <v>61</v>
      </c>
    </row>
    <row r="1390" spans="1:4" ht="21.75" customHeight="1">
      <c r="A1390" s="15" t="s">
        <v>43</v>
      </c>
      <c r="B1390" s="16" t="s">
        <v>44</v>
      </c>
      <c r="C1390" s="15" t="str">
        <f>"20190114621"</f>
        <v>20190114621</v>
      </c>
      <c r="D1390" s="17">
        <v>63.5</v>
      </c>
    </row>
    <row r="1391" spans="1:4" ht="21.75" customHeight="1">
      <c r="A1391" s="15" t="s">
        <v>43</v>
      </c>
      <c r="B1391" s="16" t="s">
        <v>44</v>
      </c>
      <c r="C1391" s="15" t="str">
        <f>"20190114622"</f>
        <v>20190114622</v>
      </c>
      <c r="D1391" s="17">
        <v>57.5</v>
      </c>
    </row>
    <row r="1392" spans="1:4" ht="21.75" customHeight="1">
      <c r="A1392" s="15" t="s">
        <v>43</v>
      </c>
      <c r="B1392" s="16" t="s">
        <v>44</v>
      </c>
      <c r="C1392" s="15" t="str">
        <f>"20190114623"</f>
        <v>20190114623</v>
      </c>
      <c r="D1392" s="17">
        <v>61</v>
      </c>
    </row>
    <row r="1393" spans="1:4" ht="21.75" customHeight="1">
      <c r="A1393" s="15" t="s">
        <v>43</v>
      </c>
      <c r="B1393" s="16" t="s">
        <v>44</v>
      </c>
      <c r="C1393" s="15" t="str">
        <f>"20190114624"</f>
        <v>20190114624</v>
      </c>
      <c r="D1393" s="17" t="s">
        <v>12</v>
      </c>
    </row>
    <row r="1394" spans="1:4" ht="21.75" customHeight="1">
      <c r="A1394" s="15" t="s">
        <v>43</v>
      </c>
      <c r="B1394" s="16" t="s">
        <v>44</v>
      </c>
      <c r="C1394" s="15" t="str">
        <f>"20190114625"</f>
        <v>20190114625</v>
      </c>
      <c r="D1394" s="17">
        <v>58</v>
      </c>
    </row>
    <row r="1395" spans="1:4" ht="21.75" customHeight="1">
      <c r="A1395" s="15" t="s">
        <v>43</v>
      </c>
      <c r="B1395" s="16" t="s">
        <v>44</v>
      </c>
      <c r="C1395" s="15" t="str">
        <f>"20190114626"</f>
        <v>20190114626</v>
      </c>
      <c r="D1395" s="17">
        <v>57.5</v>
      </c>
    </row>
    <row r="1396" spans="1:4" ht="21.75" customHeight="1">
      <c r="A1396" s="15" t="s">
        <v>43</v>
      </c>
      <c r="B1396" s="16" t="s">
        <v>44</v>
      </c>
      <c r="C1396" s="15" t="str">
        <f>"20190114627"</f>
        <v>20190114627</v>
      </c>
      <c r="D1396" s="17">
        <v>56.5</v>
      </c>
    </row>
    <row r="1397" spans="1:4" ht="21.75" customHeight="1">
      <c r="A1397" s="15" t="s">
        <v>43</v>
      </c>
      <c r="B1397" s="16" t="s">
        <v>44</v>
      </c>
      <c r="C1397" s="15" t="str">
        <f>"20190114628"</f>
        <v>20190114628</v>
      </c>
      <c r="D1397" s="17" t="s">
        <v>12</v>
      </c>
    </row>
    <row r="1398" spans="1:4" ht="21.75" customHeight="1">
      <c r="A1398" s="15" t="s">
        <v>43</v>
      </c>
      <c r="B1398" s="16" t="s">
        <v>44</v>
      </c>
      <c r="C1398" s="15" t="str">
        <f>"20190114629"</f>
        <v>20190114629</v>
      </c>
      <c r="D1398" s="17">
        <v>67</v>
      </c>
    </row>
    <row r="1399" spans="1:4" ht="21.75" customHeight="1">
      <c r="A1399" s="15" t="s">
        <v>43</v>
      </c>
      <c r="B1399" s="16" t="s">
        <v>44</v>
      </c>
      <c r="C1399" s="15" t="str">
        <f>"20190114630"</f>
        <v>20190114630</v>
      </c>
      <c r="D1399" s="17">
        <v>64.5</v>
      </c>
    </row>
    <row r="1400" spans="1:4" ht="21.75" customHeight="1">
      <c r="A1400" s="15" t="s">
        <v>43</v>
      </c>
      <c r="B1400" s="16" t="s">
        <v>44</v>
      </c>
      <c r="C1400" s="15" t="str">
        <f>"20190114701"</f>
        <v>20190114701</v>
      </c>
      <c r="D1400" s="17">
        <v>64</v>
      </c>
    </row>
    <row r="1401" spans="1:4" ht="21.75" customHeight="1">
      <c r="A1401" s="15" t="s">
        <v>43</v>
      </c>
      <c r="B1401" s="16" t="s">
        <v>44</v>
      </c>
      <c r="C1401" s="15" t="str">
        <f>"20190114702"</f>
        <v>20190114702</v>
      </c>
      <c r="D1401" s="17">
        <v>67</v>
      </c>
    </row>
    <row r="1402" spans="1:4" ht="21.75" customHeight="1">
      <c r="A1402" s="15" t="s">
        <v>43</v>
      </c>
      <c r="B1402" s="16" t="s">
        <v>44</v>
      </c>
      <c r="C1402" s="15" t="str">
        <f>"20190114703"</f>
        <v>20190114703</v>
      </c>
      <c r="D1402" s="17" t="s">
        <v>12</v>
      </c>
    </row>
    <row r="1403" spans="1:5" ht="21.75" customHeight="1">
      <c r="A1403" s="15" t="s">
        <v>43</v>
      </c>
      <c r="B1403" s="16" t="s">
        <v>44</v>
      </c>
      <c r="C1403" s="15" t="str">
        <f>"20190114704"</f>
        <v>20190114704</v>
      </c>
      <c r="D1403" s="17">
        <v>70.5</v>
      </c>
      <c r="E1403" s="18" t="s">
        <v>9</v>
      </c>
    </row>
    <row r="1404" spans="1:4" ht="21.75" customHeight="1">
      <c r="A1404" s="15" t="s">
        <v>43</v>
      </c>
      <c r="B1404" s="16" t="s">
        <v>44</v>
      </c>
      <c r="C1404" s="15" t="str">
        <f>"20190114705"</f>
        <v>20190114705</v>
      </c>
      <c r="D1404" s="17">
        <v>68</v>
      </c>
    </row>
    <row r="1405" spans="1:4" ht="21.75" customHeight="1">
      <c r="A1405" s="15" t="s">
        <v>43</v>
      </c>
      <c r="B1405" s="16" t="s">
        <v>44</v>
      </c>
      <c r="C1405" s="15" t="str">
        <f>"20190114706"</f>
        <v>20190114706</v>
      </c>
      <c r="D1405" s="17">
        <v>61.5</v>
      </c>
    </row>
    <row r="1406" spans="1:4" ht="21.75" customHeight="1">
      <c r="A1406" s="15" t="s">
        <v>43</v>
      </c>
      <c r="B1406" s="16" t="s">
        <v>44</v>
      </c>
      <c r="C1406" s="15" t="str">
        <f>"20190114707"</f>
        <v>20190114707</v>
      </c>
      <c r="D1406" s="17" t="s">
        <v>12</v>
      </c>
    </row>
    <row r="1407" spans="1:4" ht="21.75" customHeight="1">
      <c r="A1407" s="15" t="s">
        <v>43</v>
      </c>
      <c r="B1407" s="16" t="s">
        <v>44</v>
      </c>
      <c r="C1407" s="15" t="str">
        <f>"20190114708"</f>
        <v>20190114708</v>
      </c>
      <c r="D1407" s="17">
        <v>62.5</v>
      </c>
    </row>
    <row r="1408" spans="1:4" ht="21.75" customHeight="1">
      <c r="A1408" s="15" t="s">
        <v>43</v>
      </c>
      <c r="B1408" s="16" t="s">
        <v>44</v>
      </c>
      <c r="C1408" s="15" t="str">
        <f>"20190114709"</f>
        <v>20190114709</v>
      </c>
      <c r="D1408" s="17" t="s">
        <v>12</v>
      </c>
    </row>
    <row r="1409" spans="1:4" ht="21.75" customHeight="1">
      <c r="A1409" s="15" t="s">
        <v>43</v>
      </c>
      <c r="B1409" s="16" t="s">
        <v>44</v>
      </c>
      <c r="C1409" s="15" t="str">
        <f>"20190114710"</f>
        <v>20190114710</v>
      </c>
      <c r="D1409" s="17">
        <v>55.5</v>
      </c>
    </row>
    <row r="1410" spans="1:4" ht="21.75" customHeight="1">
      <c r="A1410" s="15" t="s">
        <v>43</v>
      </c>
      <c r="B1410" s="16" t="s">
        <v>44</v>
      </c>
      <c r="C1410" s="15" t="str">
        <f>"20190114711"</f>
        <v>20190114711</v>
      </c>
      <c r="D1410" s="17">
        <v>63</v>
      </c>
    </row>
    <row r="1411" spans="1:4" ht="21.75" customHeight="1">
      <c r="A1411" s="15" t="s">
        <v>43</v>
      </c>
      <c r="B1411" s="16" t="s">
        <v>44</v>
      </c>
      <c r="C1411" s="15" t="str">
        <f>"20190114712"</f>
        <v>20190114712</v>
      </c>
      <c r="D1411" s="17">
        <v>61.5</v>
      </c>
    </row>
    <row r="1412" spans="1:4" ht="21.75" customHeight="1">
      <c r="A1412" s="15" t="s">
        <v>43</v>
      </c>
      <c r="B1412" s="16" t="s">
        <v>44</v>
      </c>
      <c r="C1412" s="15" t="str">
        <f>"20190114713"</f>
        <v>20190114713</v>
      </c>
      <c r="D1412" s="17">
        <v>60.5</v>
      </c>
    </row>
    <row r="1413" spans="1:4" ht="21.75" customHeight="1">
      <c r="A1413" s="15" t="s">
        <v>43</v>
      </c>
      <c r="B1413" s="16" t="s">
        <v>44</v>
      </c>
      <c r="C1413" s="15" t="str">
        <f>"20190114714"</f>
        <v>20190114714</v>
      </c>
      <c r="D1413" s="17">
        <v>65.5</v>
      </c>
    </row>
    <row r="1414" spans="1:4" ht="21.75" customHeight="1">
      <c r="A1414" s="15" t="s">
        <v>43</v>
      </c>
      <c r="B1414" s="16" t="s">
        <v>44</v>
      </c>
      <c r="C1414" s="15" t="str">
        <f>"20190114715"</f>
        <v>20190114715</v>
      </c>
      <c r="D1414" s="17">
        <v>65.5</v>
      </c>
    </row>
    <row r="1415" spans="1:4" ht="21.75" customHeight="1">
      <c r="A1415" s="15" t="s">
        <v>43</v>
      </c>
      <c r="B1415" s="16" t="s">
        <v>44</v>
      </c>
      <c r="C1415" s="15" t="str">
        <f>"20190114716"</f>
        <v>20190114716</v>
      </c>
      <c r="D1415" s="17" t="s">
        <v>12</v>
      </c>
    </row>
    <row r="1416" spans="1:4" ht="21.75" customHeight="1">
      <c r="A1416" s="15" t="s">
        <v>43</v>
      </c>
      <c r="B1416" s="16" t="s">
        <v>44</v>
      </c>
      <c r="C1416" s="15" t="str">
        <f>"20190114717"</f>
        <v>20190114717</v>
      </c>
      <c r="D1416" s="17">
        <v>59</v>
      </c>
    </row>
    <row r="1417" spans="1:4" ht="21.75" customHeight="1">
      <c r="A1417" s="15" t="s">
        <v>43</v>
      </c>
      <c r="B1417" s="16" t="s">
        <v>44</v>
      </c>
      <c r="C1417" s="15" t="str">
        <f>"20190114718"</f>
        <v>20190114718</v>
      </c>
      <c r="D1417" s="17">
        <v>53</v>
      </c>
    </row>
    <row r="1418" spans="1:4" ht="21.75" customHeight="1">
      <c r="A1418" s="15" t="s">
        <v>43</v>
      </c>
      <c r="B1418" s="16" t="s">
        <v>44</v>
      </c>
      <c r="C1418" s="15" t="str">
        <f>"20190114719"</f>
        <v>20190114719</v>
      </c>
      <c r="D1418" s="17" t="s">
        <v>12</v>
      </c>
    </row>
    <row r="1419" spans="1:4" ht="21.75" customHeight="1">
      <c r="A1419" s="15" t="s">
        <v>43</v>
      </c>
      <c r="B1419" s="16" t="s">
        <v>44</v>
      </c>
      <c r="C1419" s="15" t="str">
        <f>"20190114720"</f>
        <v>20190114720</v>
      </c>
      <c r="D1419" s="17">
        <v>65.5</v>
      </c>
    </row>
    <row r="1420" spans="1:4" ht="21.75" customHeight="1">
      <c r="A1420" s="15" t="s">
        <v>43</v>
      </c>
      <c r="B1420" s="16" t="s">
        <v>44</v>
      </c>
      <c r="C1420" s="15" t="str">
        <f>"20190114721"</f>
        <v>20190114721</v>
      </c>
      <c r="D1420" s="17" t="s">
        <v>12</v>
      </c>
    </row>
    <row r="1421" spans="1:4" ht="21.75" customHeight="1">
      <c r="A1421" s="15" t="s">
        <v>43</v>
      </c>
      <c r="B1421" s="16" t="s">
        <v>44</v>
      </c>
      <c r="C1421" s="15" t="str">
        <f>"20190114722"</f>
        <v>20190114722</v>
      </c>
      <c r="D1421" s="17">
        <v>60</v>
      </c>
    </row>
    <row r="1422" spans="1:4" ht="21.75" customHeight="1">
      <c r="A1422" s="15" t="s">
        <v>43</v>
      </c>
      <c r="B1422" s="16" t="s">
        <v>44</v>
      </c>
      <c r="C1422" s="15" t="str">
        <f>"20190114723"</f>
        <v>20190114723</v>
      </c>
      <c r="D1422" s="17">
        <v>57</v>
      </c>
    </row>
    <row r="1423" spans="1:4" ht="21.75" customHeight="1">
      <c r="A1423" s="15" t="s">
        <v>43</v>
      </c>
      <c r="B1423" s="16" t="s">
        <v>44</v>
      </c>
      <c r="C1423" s="15" t="str">
        <f>"20190114724"</f>
        <v>20190114724</v>
      </c>
      <c r="D1423" s="17">
        <v>57.5</v>
      </c>
    </row>
    <row r="1424" spans="1:4" ht="21.75" customHeight="1">
      <c r="A1424" s="15" t="s">
        <v>43</v>
      </c>
      <c r="B1424" s="16" t="s">
        <v>44</v>
      </c>
      <c r="C1424" s="15" t="str">
        <f>"20190114725"</f>
        <v>20190114725</v>
      </c>
      <c r="D1424" s="17">
        <v>67</v>
      </c>
    </row>
    <row r="1425" spans="1:4" ht="21.75" customHeight="1">
      <c r="A1425" s="15" t="s">
        <v>43</v>
      </c>
      <c r="B1425" s="16" t="s">
        <v>44</v>
      </c>
      <c r="C1425" s="15" t="str">
        <f>"20190114726"</f>
        <v>20190114726</v>
      </c>
      <c r="D1425" s="17">
        <v>49</v>
      </c>
    </row>
    <row r="1426" spans="1:4" ht="21.75" customHeight="1">
      <c r="A1426" s="15" t="s">
        <v>43</v>
      </c>
      <c r="B1426" s="16" t="s">
        <v>44</v>
      </c>
      <c r="C1426" s="15" t="str">
        <f>"20190114727"</f>
        <v>20190114727</v>
      </c>
      <c r="D1426" s="17">
        <v>58</v>
      </c>
    </row>
    <row r="1427" spans="1:4" ht="21.75" customHeight="1">
      <c r="A1427" s="15" t="s">
        <v>43</v>
      </c>
      <c r="B1427" s="16" t="s">
        <v>44</v>
      </c>
      <c r="C1427" s="15" t="str">
        <f>"20190114728"</f>
        <v>20190114728</v>
      </c>
      <c r="D1427" s="17" t="s">
        <v>12</v>
      </c>
    </row>
    <row r="1428" spans="1:5" ht="21.75" customHeight="1">
      <c r="A1428" s="15" t="s">
        <v>43</v>
      </c>
      <c r="B1428" s="16" t="s">
        <v>44</v>
      </c>
      <c r="C1428" s="15" t="str">
        <f>"20190114729"</f>
        <v>20190114729</v>
      </c>
      <c r="D1428" s="17">
        <v>59.5</v>
      </c>
      <c r="E1428" s="19"/>
    </row>
    <row r="1429" spans="1:5" ht="21.75" customHeight="1">
      <c r="A1429" s="15" t="s">
        <v>43</v>
      </c>
      <c r="B1429" s="16" t="s">
        <v>44</v>
      </c>
      <c r="C1429" s="15" t="str">
        <f>"20190114730"</f>
        <v>20190114730</v>
      </c>
      <c r="D1429" s="17">
        <v>62.5</v>
      </c>
      <c r="E1429" s="19"/>
    </row>
    <row r="1430" spans="1:5" ht="21.75" customHeight="1">
      <c r="A1430" s="15" t="s">
        <v>43</v>
      </c>
      <c r="B1430" s="16" t="s">
        <v>44</v>
      </c>
      <c r="C1430" s="15" t="str">
        <f>"20190114801"</f>
        <v>20190114801</v>
      </c>
      <c r="D1430" s="17">
        <v>48</v>
      </c>
      <c r="E1430" s="19"/>
    </row>
    <row r="1431" spans="1:4" ht="21.75" customHeight="1">
      <c r="A1431" s="15" t="s">
        <v>43</v>
      </c>
      <c r="B1431" s="16" t="s">
        <v>44</v>
      </c>
      <c r="C1431" s="15" t="str">
        <f>"20190114802"</f>
        <v>20190114802</v>
      </c>
      <c r="D1431" s="17">
        <v>60</v>
      </c>
    </row>
    <row r="1432" spans="1:4" ht="21.75" customHeight="1">
      <c r="A1432" s="15" t="s">
        <v>43</v>
      </c>
      <c r="B1432" s="16" t="s">
        <v>44</v>
      </c>
      <c r="C1432" s="15" t="str">
        <f>"20190114803"</f>
        <v>20190114803</v>
      </c>
      <c r="D1432" s="17">
        <v>60.5</v>
      </c>
    </row>
    <row r="1433" spans="1:4" ht="21.75" customHeight="1">
      <c r="A1433" s="15" t="s">
        <v>43</v>
      </c>
      <c r="B1433" s="16" t="s">
        <v>44</v>
      </c>
      <c r="C1433" s="15" t="str">
        <f>"20190114804"</f>
        <v>20190114804</v>
      </c>
      <c r="D1433" s="17">
        <v>68.5</v>
      </c>
    </row>
    <row r="1434" spans="1:4" ht="21.75" customHeight="1">
      <c r="A1434" s="15" t="s">
        <v>43</v>
      </c>
      <c r="B1434" s="16" t="s">
        <v>44</v>
      </c>
      <c r="C1434" s="15" t="str">
        <f>"20190114805"</f>
        <v>20190114805</v>
      </c>
      <c r="D1434" s="17">
        <v>64.5</v>
      </c>
    </row>
    <row r="1435" spans="1:4" ht="21.75" customHeight="1">
      <c r="A1435" s="15" t="s">
        <v>43</v>
      </c>
      <c r="B1435" s="16" t="s">
        <v>44</v>
      </c>
      <c r="C1435" s="15" t="str">
        <f>"20190114806"</f>
        <v>20190114806</v>
      </c>
      <c r="D1435" s="17">
        <v>54</v>
      </c>
    </row>
    <row r="1436" spans="1:4" ht="21.75" customHeight="1">
      <c r="A1436" s="15" t="s">
        <v>43</v>
      </c>
      <c r="B1436" s="16" t="s">
        <v>44</v>
      </c>
      <c r="C1436" s="15" t="str">
        <f>"20190114807"</f>
        <v>20190114807</v>
      </c>
      <c r="D1436" s="17">
        <v>53.5</v>
      </c>
    </row>
    <row r="1437" spans="1:4" ht="21.75" customHeight="1">
      <c r="A1437" s="15" t="s">
        <v>43</v>
      </c>
      <c r="B1437" s="16" t="s">
        <v>44</v>
      </c>
      <c r="C1437" s="15" t="str">
        <f>"20190114808"</f>
        <v>20190114808</v>
      </c>
      <c r="D1437" s="17">
        <v>58.5</v>
      </c>
    </row>
    <row r="1438" spans="1:5" ht="21.75" customHeight="1">
      <c r="A1438" s="15" t="s">
        <v>43</v>
      </c>
      <c r="B1438" s="16" t="s">
        <v>44</v>
      </c>
      <c r="C1438" s="15" t="str">
        <f>"20190114809"</f>
        <v>20190114809</v>
      </c>
      <c r="D1438" s="17">
        <v>70</v>
      </c>
      <c r="E1438" s="18" t="s">
        <v>9</v>
      </c>
    </row>
    <row r="1439" spans="1:4" ht="21.75" customHeight="1">
      <c r="A1439" s="15" t="s">
        <v>43</v>
      </c>
      <c r="B1439" s="16" t="s">
        <v>44</v>
      </c>
      <c r="C1439" s="15" t="str">
        <f>"20190114810"</f>
        <v>20190114810</v>
      </c>
      <c r="D1439" s="17">
        <v>61.5</v>
      </c>
    </row>
    <row r="1440" spans="1:4" ht="21.75" customHeight="1">
      <c r="A1440" s="15" t="s">
        <v>43</v>
      </c>
      <c r="B1440" s="16" t="s">
        <v>44</v>
      </c>
      <c r="C1440" s="15" t="str">
        <f>"20190114811"</f>
        <v>20190114811</v>
      </c>
      <c r="D1440" s="17">
        <v>63.5</v>
      </c>
    </row>
    <row r="1441" spans="1:4" ht="21.75" customHeight="1">
      <c r="A1441" s="15" t="s">
        <v>43</v>
      </c>
      <c r="B1441" s="16" t="s">
        <v>44</v>
      </c>
      <c r="C1441" s="15" t="str">
        <f>"20190114812"</f>
        <v>20190114812</v>
      </c>
      <c r="D1441" s="17" t="s">
        <v>12</v>
      </c>
    </row>
    <row r="1442" spans="1:4" ht="21.75" customHeight="1">
      <c r="A1442" s="15" t="s">
        <v>43</v>
      </c>
      <c r="B1442" s="16" t="s">
        <v>44</v>
      </c>
      <c r="C1442" s="15" t="str">
        <f>"20190114813"</f>
        <v>20190114813</v>
      </c>
      <c r="D1442" s="17">
        <v>57</v>
      </c>
    </row>
    <row r="1443" spans="1:4" ht="21.75" customHeight="1">
      <c r="A1443" s="15" t="s">
        <v>43</v>
      </c>
      <c r="B1443" s="16" t="s">
        <v>44</v>
      </c>
      <c r="C1443" s="15" t="str">
        <f>"20190114814"</f>
        <v>20190114814</v>
      </c>
      <c r="D1443" s="17">
        <v>62.5</v>
      </c>
    </row>
    <row r="1444" spans="1:4" ht="21.75" customHeight="1">
      <c r="A1444" s="15" t="s">
        <v>43</v>
      </c>
      <c r="B1444" s="16" t="s">
        <v>44</v>
      </c>
      <c r="C1444" s="15" t="str">
        <f>"20190114815"</f>
        <v>20190114815</v>
      </c>
      <c r="D1444" s="17">
        <v>57.5</v>
      </c>
    </row>
    <row r="1445" spans="1:4" ht="21.75" customHeight="1">
      <c r="A1445" s="15" t="s">
        <v>43</v>
      </c>
      <c r="B1445" s="16" t="s">
        <v>44</v>
      </c>
      <c r="C1445" s="15" t="str">
        <f>"20190114816"</f>
        <v>20190114816</v>
      </c>
      <c r="D1445" s="17">
        <v>56.5</v>
      </c>
    </row>
    <row r="1446" spans="1:4" ht="21.75" customHeight="1">
      <c r="A1446" s="15" t="s">
        <v>43</v>
      </c>
      <c r="B1446" s="16" t="s">
        <v>44</v>
      </c>
      <c r="C1446" s="15" t="str">
        <f>"20190114817"</f>
        <v>20190114817</v>
      </c>
      <c r="D1446" s="17">
        <v>59</v>
      </c>
    </row>
    <row r="1447" spans="1:4" ht="21.75" customHeight="1">
      <c r="A1447" s="15" t="s">
        <v>43</v>
      </c>
      <c r="B1447" s="16" t="s">
        <v>44</v>
      </c>
      <c r="C1447" s="15" t="str">
        <f>"20190114818"</f>
        <v>20190114818</v>
      </c>
      <c r="D1447" s="17" t="s">
        <v>12</v>
      </c>
    </row>
    <row r="1448" spans="1:4" ht="21.75" customHeight="1">
      <c r="A1448" s="15" t="s">
        <v>43</v>
      </c>
      <c r="B1448" s="16" t="s">
        <v>44</v>
      </c>
      <c r="C1448" s="15" t="str">
        <f>"20190114819"</f>
        <v>20190114819</v>
      </c>
      <c r="D1448" s="17">
        <v>51</v>
      </c>
    </row>
    <row r="1449" spans="1:4" ht="21.75" customHeight="1">
      <c r="A1449" s="15" t="s">
        <v>43</v>
      </c>
      <c r="B1449" s="16" t="s">
        <v>44</v>
      </c>
      <c r="C1449" s="15" t="str">
        <f>"20190114820"</f>
        <v>20190114820</v>
      </c>
      <c r="D1449" s="17" t="s">
        <v>12</v>
      </c>
    </row>
    <row r="1450" spans="1:4" ht="21.75" customHeight="1">
      <c r="A1450" s="15" t="s">
        <v>43</v>
      </c>
      <c r="B1450" s="16" t="s">
        <v>44</v>
      </c>
      <c r="C1450" s="15" t="str">
        <f>"20190114821"</f>
        <v>20190114821</v>
      </c>
      <c r="D1450" s="17">
        <v>53.5</v>
      </c>
    </row>
    <row r="1451" spans="1:4" ht="21.75" customHeight="1">
      <c r="A1451" s="15" t="s">
        <v>43</v>
      </c>
      <c r="B1451" s="16" t="s">
        <v>44</v>
      </c>
      <c r="C1451" s="15" t="str">
        <f>"20190114822"</f>
        <v>20190114822</v>
      </c>
      <c r="D1451" s="17">
        <v>62.5</v>
      </c>
    </row>
    <row r="1452" spans="1:4" ht="21.75" customHeight="1">
      <c r="A1452" s="15" t="s">
        <v>43</v>
      </c>
      <c r="B1452" s="16" t="s">
        <v>44</v>
      </c>
      <c r="C1452" s="15" t="str">
        <f>"20190114823"</f>
        <v>20190114823</v>
      </c>
      <c r="D1452" s="17">
        <v>62</v>
      </c>
    </row>
    <row r="1453" spans="1:4" ht="21.75" customHeight="1">
      <c r="A1453" s="15" t="s">
        <v>43</v>
      </c>
      <c r="B1453" s="16" t="s">
        <v>44</v>
      </c>
      <c r="C1453" s="15" t="str">
        <f>"20190114824"</f>
        <v>20190114824</v>
      </c>
      <c r="D1453" s="17">
        <v>64.5</v>
      </c>
    </row>
    <row r="1454" spans="1:4" ht="21.75" customHeight="1">
      <c r="A1454" s="15" t="s">
        <v>43</v>
      </c>
      <c r="B1454" s="16" t="s">
        <v>44</v>
      </c>
      <c r="C1454" s="15" t="str">
        <f>"20190114825"</f>
        <v>20190114825</v>
      </c>
      <c r="D1454" s="17">
        <v>53.5</v>
      </c>
    </row>
    <row r="1455" spans="1:4" ht="21.75" customHeight="1">
      <c r="A1455" s="15" t="s">
        <v>43</v>
      </c>
      <c r="B1455" s="16" t="s">
        <v>44</v>
      </c>
      <c r="C1455" s="15" t="str">
        <f>"20190114826"</f>
        <v>20190114826</v>
      </c>
      <c r="D1455" s="17">
        <v>57.5</v>
      </c>
    </row>
    <row r="1456" spans="1:4" ht="21.75" customHeight="1">
      <c r="A1456" s="15" t="s">
        <v>43</v>
      </c>
      <c r="B1456" s="16" t="s">
        <v>44</v>
      </c>
      <c r="C1456" s="15" t="str">
        <f>"20190114827"</f>
        <v>20190114827</v>
      </c>
      <c r="D1456" s="17">
        <v>62.5</v>
      </c>
    </row>
    <row r="1457" spans="1:4" ht="21.75" customHeight="1">
      <c r="A1457" s="15" t="s">
        <v>43</v>
      </c>
      <c r="B1457" s="16" t="s">
        <v>44</v>
      </c>
      <c r="C1457" s="15" t="str">
        <f>"20190114828"</f>
        <v>20190114828</v>
      </c>
      <c r="D1457" s="17">
        <v>57</v>
      </c>
    </row>
    <row r="1458" spans="1:5" ht="21.75" customHeight="1">
      <c r="A1458" s="15" t="s">
        <v>43</v>
      </c>
      <c r="B1458" s="16" t="s">
        <v>44</v>
      </c>
      <c r="C1458" s="15" t="str">
        <f>"20190114829"</f>
        <v>20190114829</v>
      </c>
      <c r="D1458" s="17">
        <v>69</v>
      </c>
      <c r="E1458" s="18" t="s">
        <v>9</v>
      </c>
    </row>
    <row r="1459" spans="1:4" ht="21.75" customHeight="1">
      <c r="A1459" s="15" t="s">
        <v>43</v>
      </c>
      <c r="B1459" s="16" t="s">
        <v>44</v>
      </c>
      <c r="C1459" s="15" t="str">
        <f>"20190114830"</f>
        <v>20190114830</v>
      </c>
      <c r="D1459" s="17">
        <v>63</v>
      </c>
    </row>
    <row r="1460" spans="1:4" ht="21.75" customHeight="1">
      <c r="A1460" s="15" t="s">
        <v>43</v>
      </c>
      <c r="B1460" s="16" t="s">
        <v>44</v>
      </c>
      <c r="C1460" s="15" t="str">
        <f>"20190114901"</f>
        <v>20190114901</v>
      </c>
      <c r="D1460" s="17">
        <v>59</v>
      </c>
    </row>
    <row r="1461" spans="1:4" ht="21.75" customHeight="1">
      <c r="A1461" s="15" t="s">
        <v>43</v>
      </c>
      <c r="B1461" s="16" t="s">
        <v>44</v>
      </c>
      <c r="C1461" s="15" t="str">
        <f>"20190114902"</f>
        <v>20190114902</v>
      </c>
      <c r="D1461" s="17">
        <v>62.5</v>
      </c>
    </row>
    <row r="1462" spans="1:4" ht="21.75" customHeight="1">
      <c r="A1462" s="15" t="s">
        <v>43</v>
      </c>
      <c r="B1462" s="16" t="s">
        <v>44</v>
      </c>
      <c r="C1462" s="15" t="str">
        <f>"20190114903"</f>
        <v>20190114903</v>
      </c>
      <c r="D1462" s="17">
        <v>63</v>
      </c>
    </row>
    <row r="1463" spans="1:4" ht="21.75" customHeight="1">
      <c r="A1463" s="15" t="s">
        <v>43</v>
      </c>
      <c r="B1463" s="16" t="s">
        <v>44</v>
      </c>
      <c r="C1463" s="15" t="str">
        <f>"20190114904"</f>
        <v>20190114904</v>
      </c>
      <c r="D1463" s="17" t="s">
        <v>12</v>
      </c>
    </row>
    <row r="1464" spans="1:4" ht="21.75" customHeight="1">
      <c r="A1464" s="15" t="s">
        <v>43</v>
      </c>
      <c r="B1464" s="16" t="s">
        <v>44</v>
      </c>
      <c r="C1464" s="15" t="str">
        <f>"20190114905"</f>
        <v>20190114905</v>
      </c>
      <c r="D1464" s="17">
        <v>60</v>
      </c>
    </row>
    <row r="1465" spans="1:4" ht="21.75" customHeight="1">
      <c r="A1465" s="15" t="s">
        <v>43</v>
      </c>
      <c r="B1465" s="16" t="s">
        <v>44</v>
      </c>
      <c r="C1465" s="15" t="str">
        <f>"20190114906"</f>
        <v>20190114906</v>
      </c>
      <c r="D1465" s="17">
        <v>66</v>
      </c>
    </row>
    <row r="1466" spans="1:4" ht="21.75" customHeight="1">
      <c r="A1466" s="15" t="s">
        <v>43</v>
      </c>
      <c r="B1466" s="16" t="s">
        <v>44</v>
      </c>
      <c r="C1466" s="15" t="str">
        <f>"20190114907"</f>
        <v>20190114907</v>
      </c>
      <c r="D1466" s="17">
        <v>64.5</v>
      </c>
    </row>
    <row r="1467" spans="1:4" ht="21.75" customHeight="1">
      <c r="A1467" s="15" t="s">
        <v>43</v>
      </c>
      <c r="B1467" s="16" t="s">
        <v>44</v>
      </c>
      <c r="C1467" s="15" t="str">
        <f>"20190114908"</f>
        <v>20190114908</v>
      </c>
      <c r="D1467" s="17">
        <v>50.5</v>
      </c>
    </row>
    <row r="1468" spans="1:4" ht="21.75" customHeight="1">
      <c r="A1468" s="15" t="s">
        <v>43</v>
      </c>
      <c r="B1468" s="16" t="s">
        <v>44</v>
      </c>
      <c r="C1468" s="15" t="str">
        <f>"20190114909"</f>
        <v>20190114909</v>
      </c>
      <c r="D1468" s="17">
        <v>62.5</v>
      </c>
    </row>
    <row r="1469" spans="1:4" ht="21.75" customHeight="1">
      <c r="A1469" s="15" t="s">
        <v>43</v>
      </c>
      <c r="B1469" s="16" t="s">
        <v>44</v>
      </c>
      <c r="C1469" s="15" t="str">
        <f>"20190114910"</f>
        <v>20190114910</v>
      </c>
      <c r="D1469" s="17">
        <v>67</v>
      </c>
    </row>
    <row r="1470" spans="1:4" ht="21.75" customHeight="1">
      <c r="A1470" s="15" t="s">
        <v>43</v>
      </c>
      <c r="B1470" s="16" t="s">
        <v>44</v>
      </c>
      <c r="C1470" s="15" t="str">
        <f>"20190114911"</f>
        <v>20190114911</v>
      </c>
      <c r="D1470" s="17">
        <v>57.5</v>
      </c>
    </row>
    <row r="1471" spans="1:4" ht="21.75" customHeight="1">
      <c r="A1471" s="15" t="s">
        <v>43</v>
      </c>
      <c r="B1471" s="16" t="s">
        <v>44</v>
      </c>
      <c r="C1471" s="15" t="str">
        <f>"20190114912"</f>
        <v>20190114912</v>
      </c>
      <c r="D1471" s="17">
        <v>62</v>
      </c>
    </row>
    <row r="1472" spans="1:4" ht="21.75" customHeight="1">
      <c r="A1472" s="15" t="s">
        <v>43</v>
      </c>
      <c r="B1472" s="16" t="s">
        <v>44</v>
      </c>
      <c r="C1472" s="15" t="str">
        <f>"20190114913"</f>
        <v>20190114913</v>
      </c>
      <c r="D1472" s="17" t="s">
        <v>12</v>
      </c>
    </row>
    <row r="1473" spans="1:4" ht="21.75" customHeight="1">
      <c r="A1473" s="15" t="s">
        <v>43</v>
      </c>
      <c r="B1473" s="16" t="s">
        <v>44</v>
      </c>
      <c r="C1473" s="15" t="str">
        <f>"20190114914"</f>
        <v>20190114914</v>
      </c>
      <c r="D1473" s="17" t="s">
        <v>12</v>
      </c>
    </row>
    <row r="1474" spans="1:4" ht="21.75" customHeight="1">
      <c r="A1474" s="15" t="s">
        <v>43</v>
      </c>
      <c r="B1474" s="16" t="s">
        <v>44</v>
      </c>
      <c r="C1474" s="15" t="str">
        <f>"20190114915"</f>
        <v>20190114915</v>
      </c>
      <c r="D1474" s="17">
        <v>60</v>
      </c>
    </row>
    <row r="1475" spans="1:4" ht="21.75" customHeight="1">
      <c r="A1475" s="15" t="s">
        <v>43</v>
      </c>
      <c r="B1475" s="16" t="s">
        <v>44</v>
      </c>
      <c r="C1475" s="15" t="str">
        <f>"20190114916"</f>
        <v>20190114916</v>
      </c>
      <c r="D1475" s="17">
        <v>55.5</v>
      </c>
    </row>
    <row r="1476" spans="1:5" ht="21.75" customHeight="1">
      <c r="A1476" s="15" t="s">
        <v>43</v>
      </c>
      <c r="B1476" s="16" t="s">
        <v>44</v>
      </c>
      <c r="C1476" s="15" t="str">
        <f>"20190114917"</f>
        <v>20190114917</v>
      </c>
      <c r="D1476" s="17">
        <v>69</v>
      </c>
      <c r="E1476" s="18" t="s">
        <v>9</v>
      </c>
    </row>
    <row r="1477" spans="1:4" ht="21.75" customHeight="1">
      <c r="A1477" s="15" t="s">
        <v>43</v>
      </c>
      <c r="B1477" s="16" t="s">
        <v>44</v>
      </c>
      <c r="C1477" s="15" t="str">
        <f>"20190114918"</f>
        <v>20190114918</v>
      </c>
      <c r="D1477" s="17" t="s">
        <v>12</v>
      </c>
    </row>
    <row r="1478" spans="1:4" ht="21.75" customHeight="1">
      <c r="A1478" s="15" t="s">
        <v>43</v>
      </c>
      <c r="B1478" s="16" t="s">
        <v>44</v>
      </c>
      <c r="C1478" s="15" t="str">
        <f>"20190114919"</f>
        <v>20190114919</v>
      </c>
      <c r="D1478" s="17">
        <v>60</v>
      </c>
    </row>
    <row r="1479" spans="1:4" ht="21.75" customHeight="1">
      <c r="A1479" s="15" t="s">
        <v>43</v>
      </c>
      <c r="B1479" s="16" t="s">
        <v>44</v>
      </c>
      <c r="C1479" s="15" t="str">
        <f>"20190114920"</f>
        <v>20190114920</v>
      </c>
      <c r="D1479" s="17">
        <v>68</v>
      </c>
    </row>
    <row r="1480" spans="1:4" ht="21.75" customHeight="1">
      <c r="A1480" s="15" t="s">
        <v>43</v>
      </c>
      <c r="B1480" s="16" t="s">
        <v>44</v>
      </c>
      <c r="C1480" s="15" t="str">
        <f>"20190114921"</f>
        <v>20190114921</v>
      </c>
      <c r="D1480" s="17" t="s">
        <v>12</v>
      </c>
    </row>
    <row r="1481" spans="1:4" ht="21.75" customHeight="1">
      <c r="A1481" s="15" t="s">
        <v>43</v>
      </c>
      <c r="B1481" s="16" t="s">
        <v>44</v>
      </c>
      <c r="C1481" s="15" t="str">
        <f>"20190114922"</f>
        <v>20190114922</v>
      </c>
      <c r="D1481" s="17" t="s">
        <v>12</v>
      </c>
    </row>
    <row r="1482" spans="1:4" ht="21.75" customHeight="1">
      <c r="A1482" s="15" t="s">
        <v>43</v>
      </c>
      <c r="B1482" s="16" t="s">
        <v>44</v>
      </c>
      <c r="C1482" s="15" t="str">
        <f>"20190114923"</f>
        <v>20190114923</v>
      </c>
      <c r="D1482" s="17" t="s">
        <v>12</v>
      </c>
    </row>
    <row r="1483" spans="1:4" ht="21.75" customHeight="1">
      <c r="A1483" s="15" t="s">
        <v>43</v>
      </c>
      <c r="B1483" s="16" t="s">
        <v>44</v>
      </c>
      <c r="C1483" s="15" t="str">
        <f>"20190114924"</f>
        <v>20190114924</v>
      </c>
      <c r="D1483" s="17">
        <v>55.5</v>
      </c>
    </row>
    <row r="1484" spans="1:4" ht="21.75" customHeight="1">
      <c r="A1484" s="20" t="s">
        <v>45</v>
      </c>
      <c r="B1484" s="21" t="s">
        <v>44</v>
      </c>
      <c r="C1484" s="15" t="str">
        <f>"20190114925"</f>
        <v>20190114925</v>
      </c>
      <c r="D1484" s="17" t="s">
        <v>12</v>
      </c>
    </row>
    <row r="1485" spans="1:4" ht="21.75" customHeight="1">
      <c r="A1485" s="20" t="s">
        <v>45</v>
      </c>
      <c r="B1485" s="21" t="s">
        <v>44</v>
      </c>
      <c r="C1485" s="15" t="str">
        <f>"20190114926"</f>
        <v>20190114926</v>
      </c>
      <c r="D1485" s="17">
        <v>58</v>
      </c>
    </row>
    <row r="1486" spans="1:4" ht="21.75" customHeight="1">
      <c r="A1486" s="20" t="s">
        <v>45</v>
      </c>
      <c r="B1486" s="21" t="s">
        <v>44</v>
      </c>
      <c r="C1486" s="15" t="str">
        <f>"20190114927"</f>
        <v>20190114927</v>
      </c>
      <c r="D1486" s="17">
        <v>58</v>
      </c>
    </row>
    <row r="1487" spans="1:4" ht="21.75" customHeight="1">
      <c r="A1487" s="20" t="s">
        <v>45</v>
      </c>
      <c r="B1487" s="21" t="s">
        <v>44</v>
      </c>
      <c r="C1487" s="15" t="str">
        <f>"20190114928"</f>
        <v>20190114928</v>
      </c>
      <c r="D1487" s="17">
        <v>57</v>
      </c>
    </row>
    <row r="1488" spans="1:4" ht="21.75" customHeight="1">
      <c r="A1488" s="20" t="s">
        <v>45</v>
      </c>
      <c r="B1488" s="21" t="s">
        <v>44</v>
      </c>
      <c r="C1488" s="15" t="str">
        <f>"20190114929"</f>
        <v>20190114929</v>
      </c>
      <c r="D1488" s="17">
        <v>47.5</v>
      </c>
    </row>
    <row r="1489" spans="1:4" ht="21.75" customHeight="1">
      <c r="A1489" s="20" t="s">
        <v>45</v>
      </c>
      <c r="B1489" s="21" t="s">
        <v>44</v>
      </c>
      <c r="C1489" s="15" t="str">
        <f>"20190114930"</f>
        <v>20190114930</v>
      </c>
      <c r="D1489" s="17">
        <v>54.5</v>
      </c>
    </row>
    <row r="1490" spans="1:4" ht="21.75" customHeight="1">
      <c r="A1490" s="20" t="s">
        <v>45</v>
      </c>
      <c r="B1490" s="21" t="s">
        <v>44</v>
      </c>
      <c r="C1490" s="15" t="str">
        <f>"20190115001"</f>
        <v>20190115001</v>
      </c>
      <c r="D1490" s="17">
        <v>58</v>
      </c>
    </row>
    <row r="1491" spans="1:5" ht="21.75" customHeight="1">
      <c r="A1491" s="20" t="s">
        <v>45</v>
      </c>
      <c r="B1491" s="21" t="s">
        <v>44</v>
      </c>
      <c r="C1491" s="15" t="str">
        <f>"20190115002"</f>
        <v>20190115002</v>
      </c>
      <c r="D1491" s="17" t="s">
        <v>12</v>
      </c>
      <c r="E1491" s="19"/>
    </row>
    <row r="1492" spans="1:5" ht="21.75" customHeight="1">
      <c r="A1492" s="20" t="s">
        <v>45</v>
      </c>
      <c r="B1492" s="21" t="s">
        <v>44</v>
      </c>
      <c r="C1492" s="15" t="str">
        <f>"20190115003"</f>
        <v>20190115003</v>
      </c>
      <c r="D1492" s="17">
        <v>57</v>
      </c>
      <c r="E1492" s="19"/>
    </row>
    <row r="1493" spans="1:5" ht="21.75" customHeight="1">
      <c r="A1493" s="20" t="s">
        <v>45</v>
      </c>
      <c r="B1493" s="21" t="s">
        <v>44</v>
      </c>
      <c r="C1493" s="15" t="str">
        <f>"20190115004"</f>
        <v>20190115004</v>
      </c>
      <c r="D1493" s="17" t="s">
        <v>12</v>
      </c>
      <c r="E1493" s="19"/>
    </row>
    <row r="1494" spans="1:4" ht="21.75" customHeight="1">
      <c r="A1494" s="20" t="s">
        <v>45</v>
      </c>
      <c r="B1494" s="21" t="s">
        <v>44</v>
      </c>
      <c r="C1494" s="15" t="str">
        <f>"20190115005"</f>
        <v>20190115005</v>
      </c>
      <c r="D1494" s="17" t="s">
        <v>12</v>
      </c>
    </row>
    <row r="1495" spans="1:4" ht="21.75" customHeight="1">
      <c r="A1495" s="20" t="s">
        <v>45</v>
      </c>
      <c r="B1495" s="21" t="s">
        <v>44</v>
      </c>
      <c r="C1495" s="15" t="str">
        <f>"20190115006"</f>
        <v>20190115006</v>
      </c>
      <c r="D1495" s="17">
        <v>60.5</v>
      </c>
    </row>
    <row r="1496" spans="1:5" ht="21.75" customHeight="1">
      <c r="A1496" s="20" t="s">
        <v>45</v>
      </c>
      <c r="B1496" s="21" t="s">
        <v>44</v>
      </c>
      <c r="C1496" s="15" t="str">
        <f>"20190115007"</f>
        <v>20190115007</v>
      </c>
      <c r="D1496" s="17">
        <v>62.5</v>
      </c>
      <c r="E1496" s="19"/>
    </row>
    <row r="1497" spans="1:5" ht="21.75" customHeight="1">
      <c r="A1497" s="20" t="s">
        <v>45</v>
      </c>
      <c r="B1497" s="21" t="s">
        <v>44</v>
      </c>
      <c r="C1497" s="15" t="str">
        <f>"20190115008"</f>
        <v>20190115008</v>
      </c>
      <c r="D1497" s="17" t="s">
        <v>12</v>
      </c>
      <c r="E1497" s="19"/>
    </row>
    <row r="1498" spans="1:5" ht="21.75" customHeight="1">
      <c r="A1498" s="20" t="s">
        <v>45</v>
      </c>
      <c r="B1498" s="21" t="s">
        <v>44</v>
      </c>
      <c r="C1498" s="15" t="str">
        <f>"20190115009"</f>
        <v>20190115009</v>
      </c>
      <c r="D1498" s="17">
        <v>71.5</v>
      </c>
      <c r="E1498" s="18" t="s">
        <v>9</v>
      </c>
    </row>
    <row r="1499" spans="1:4" ht="21.75" customHeight="1">
      <c r="A1499" s="20" t="s">
        <v>45</v>
      </c>
      <c r="B1499" s="21" t="s">
        <v>44</v>
      </c>
      <c r="C1499" s="15" t="str">
        <f>"20190115010"</f>
        <v>20190115010</v>
      </c>
      <c r="D1499" s="17">
        <v>71</v>
      </c>
    </row>
    <row r="1500" spans="1:4" ht="21.75" customHeight="1">
      <c r="A1500" s="20" t="s">
        <v>45</v>
      </c>
      <c r="B1500" s="21" t="s">
        <v>44</v>
      </c>
      <c r="C1500" s="15" t="str">
        <f>"20190115011"</f>
        <v>20190115011</v>
      </c>
      <c r="D1500" s="17">
        <v>64</v>
      </c>
    </row>
    <row r="1501" spans="1:4" ht="21.75" customHeight="1">
      <c r="A1501" s="20" t="s">
        <v>45</v>
      </c>
      <c r="B1501" s="21" t="s">
        <v>44</v>
      </c>
      <c r="C1501" s="15" t="str">
        <f>"20190115012"</f>
        <v>20190115012</v>
      </c>
      <c r="D1501" s="17">
        <v>63.5</v>
      </c>
    </row>
    <row r="1502" spans="1:4" ht="21.75" customHeight="1">
      <c r="A1502" s="20" t="s">
        <v>45</v>
      </c>
      <c r="B1502" s="21" t="s">
        <v>44</v>
      </c>
      <c r="C1502" s="15" t="str">
        <f>"20190115013"</f>
        <v>20190115013</v>
      </c>
      <c r="D1502" s="17" t="s">
        <v>12</v>
      </c>
    </row>
    <row r="1503" spans="1:4" ht="21.75" customHeight="1">
      <c r="A1503" s="20" t="s">
        <v>45</v>
      </c>
      <c r="B1503" s="21" t="s">
        <v>44</v>
      </c>
      <c r="C1503" s="15" t="str">
        <f>"20190115014"</f>
        <v>20190115014</v>
      </c>
      <c r="D1503" s="17">
        <v>54.5</v>
      </c>
    </row>
    <row r="1504" spans="1:4" ht="21.75" customHeight="1">
      <c r="A1504" s="20" t="s">
        <v>45</v>
      </c>
      <c r="B1504" s="21" t="s">
        <v>44</v>
      </c>
      <c r="C1504" s="15" t="str">
        <f>"20190115015"</f>
        <v>20190115015</v>
      </c>
      <c r="D1504" s="17">
        <v>51.5</v>
      </c>
    </row>
    <row r="1505" spans="1:4" ht="21.75" customHeight="1">
      <c r="A1505" s="20" t="s">
        <v>45</v>
      </c>
      <c r="B1505" s="21" t="s">
        <v>44</v>
      </c>
      <c r="C1505" s="15" t="str">
        <f>"20190115016"</f>
        <v>20190115016</v>
      </c>
      <c r="D1505" s="17">
        <v>70.5</v>
      </c>
    </row>
    <row r="1506" spans="1:4" ht="21.75" customHeight="1">
      <c r="A1506" s="20" t="s">
        <v>45</v>
      </c>
      <c r="B1506" s="21" t="s">
        <v>44</v>
      </c>
      <c r="C1506" s="15" t="str">
        <f>"20190115017"</f>
        <v>20190115017</v>
      </c>
      <c r="D1506" s="17">
        <v>71</v>
      </c>
    </row>
    <row r="1507" spans="1:4" ht="21.75" customHeight="1">
      <c r="A1507" s="20" t="s">
        <v>45</v>
      </c>
      <c r="B1507" s="21" t="s">
        <v>44</v>
      </c>
      <c r="C1507" s="15" t="str">
        <f>"20190115018"</f>
        <v>20190115018</v>
      </c>
      <c r="D1507" s="17">
        <v>45</v>
      </c>
    </row>
    <row r="1508" spans="1:4" ht="21.75" customHeight="1">
      <c r="A1508" s="20" t="s">
        <v>45</v>
      </c>
      <c r="B1508" s="21" t="s">
        <v>44</v>
      </c>
      <c r="C1508" s="15" t="str">
        <f>"20190115019"</f>
        <v>20190115019</v>
      </c>
      <c r="D1508" s="17">
        <v>71</v>
      </c>
    </row>
    <row r="1509" spans="1:4" ht="21.75" customHeight="1">
      <c r="A1509" s="20" t="s">
        <v>45</v>
      </c>
      <c r="B1509" s="21" t="s">
        <v>44</v>
      </c>
      <c r="C1509" s="15" t="str">
        <f>"20190115020"</f>
        <v>20190115020</v>
      </c>
      <c r="D1509" s="17">
        <v>48</v>
      </c>
    </row>
    <row r="1510" spans="1:4" ht="21.75" customHeight="1">
      <c r="A1510" s="20" t="s">
        <v>45</v>
      </c>
      <c r="B1510" s="21" t="s">
        <v>44</v>
      </c>
      <c r="C1510" s="15" t="str">
        <f>"20190115021"</f>
        <v>20190115021</v>
      </c>
      <c r="D1510" s="17">
        <v>63</v>
      </c>
    </row>
    <row r="1511" spans="1:4" ht="21.75" customHeight="1">
      <c r="A1511" s="20" t="s">
        <v>45</v>
      </c>
      <c r="B1511" s="21" t="s">
        <v>44</v>
      </c>
      <c r="C1511" s="15" t="str">
        <f>"20190115022"</f>
        <v>20190115022</v>
      </c>
      <c r="D1511" s="17">
        <v>68</v>
      </c>
    </row>
    <row r="1512" spans="1:4" ht="21.75" customHeight="1">
      <c r="A1512" s="20" t="s">
        <v>45</v>
      </c>
      <c r="B1512" s="21" t="s">
        <v>44</v>
      </c>
      <c r="C1512" s="15" t="str">
        <f>"20190115023"</f>
        <v>20190115023</v>
      </c>
      <c r="D1512" s="17">
        <v>57</v>
      </c>
    </row>
    <row r="1513" spans="1:5" ht="21.75" customHeight="1">
      <c r="A1513" s="20" t="s">
        <v>45</v>
      </c>
      <c r="B1513" s="21" t="s">
        <v>44</v>
      </c>
      <c r="C1513" s="15" t="str">
        <f>"20190115024"</f>
        <v>20190115024</v>
      </c>
      <c r="D1513" s="17">
        <v>73</v>
      </c>
      <c r="E1513" s="18" t="s">
        <v>9</v>
      </c>
    </row>
    <row r="1514" spans="1:4" ht="21.75" customHeight="1">
      <c r="A1514" s="20" t="s">
        <v>45</v>
      </c>
      <c r="B1514" s="21" t="s">
        <v>44</v>
      </c>
      <c r="C1514" s="15" t="str">
        <f>"20190115025"</f>
        <v>20190115025</v>
      </c>
      <c r="D1514" s="17" t="s">
        <v>12</v>
      </c>
    </row>
    <row r="1515" spans="1:4" ht="21.75" customHeight="1">
      <c r="A1515" s="20" t="s">
        <v>45</v>
      </c>
      <c r="B1515" s="21" t="s">
        <v>44</v>
      </c>
      <c r="C1515" s="15" t="str">
        <f>"20190115026"</f>
        <v>20190115026</v>
      </c>
      <c r="D1515" s="17">
        <v>59</v>
      </c>
    </row>
    <row r="1516" spans="1:4" ht="21.75" customHeight="1">
      <c r="A1516" s="20" t="s">
        <v>45</v>
      </c>
      <c r="B1516" s="21" t="s">
        <v>44</v>
      </c>
      <c r="C1516" s="15" t="str">
        <f>"20190115027"</f>
        <v>20190115027</v>
      </c>
      <c r="D1516" s="17">
        <v>55.5</v>
      </c>
    </row>
    <row r="1517" spans="1:4" ht="21.75" customHeight="1">
      <c r="A1517" s="20" t="s">
        <v>45</v>
      </c>
      <c r="B1517" s="21" t="s">
        <v>44</v>
      </c>
      <c r="C1517" s="15" t="str">
        <f>"20190115028"</f>
        <v>20190115028</v>
      </c>
      <c r="D1517" s="17">
        <v>57.5</v>
      </c>
    </row>
    <row r="1518" spans="1:4" ht="21.75" customHeight="1">
      <c r="A1518" s="20" t="s">
        <v>45</v>
      </c>
      <c r="B1518" s="21" t="s">
        <v>44</v>
      </c>
      <c r="C1518" s="15" t="str">
        <f>"20190115029"</f>
        <v>20190115029</v>
      </c>
      <c r="D1518" s="17">
        <v>61.5</v>
      </c>
    </row>
    <row r="1519" spans="1:4" ht="21.75" customHeight="1">
      <c r="A1519" s="20" t="s">
        <v>45</v>
      </c>
      <c r="B1519" s="21" t="s">
        <v>44</v>
      </c>
      <c r="C1519" s="15" t="str">
        <f>"20190115030"</f>
        <v>20190115030</v>
      </c>
      <c r="D1519" s="17">
        <v>62.5</v>
      </c>
    </row>
    <row r="1520" spans="1:4" ht="21.75" customHeight="1">
      <c r="A1520" s="20" t="s">
        <v>45</v>
      </c>
      <c r="B1520" s="21" t="s">
        <v>44</v>
      </c>
      <c r="C1520" s="15" t="str">
        <f>"20190115101"</f>
        <v>20190115101</v>
      </c>
      <c r="D1520" s="17">
        <v>64</v>
      </c>
    </row>
    <row r="1521" spans="1:4" ht="21.75" customHeight="1">
      <c r="A1521" s="20" t="s">
        <v>45</v>
      </c>
      <c r="B1521" s="21" t="s">
        <v>44</v>
      </c>
      <c r="C1521" s="15" t="str">
        <f>"20190115102"</f>
        <v>20190115102</v>
      </c>
      <c r="D1521" s="17">
        <v>53</v>
      </c>
    </row>
    <row r="1522" spans="1:4" ht="21.75" customHeight="1">
      <c r="A1522" s="20" t="s">
        <v>45</v>
      </c>
      <c r="B1522" s="21" t="s">
        <v>44</v>
      </c>
      <c r="C1522" s="15" t="str">
        <f>"20190115103"</f>
        <v>20190115103</v>
      </c>
      <c r="D1522" s="17">
        <v>54.5</v>
      </c>
    </row>
    <row r="1523" spans="1:4" ht="21.75" customHeight="1">
      <c r="A1523" s="20" t="s">
        <v>45</v>
      </c>
      <c r="B1523" s="21" t="s">
        <v>44</v>
      </c>
      <c r="C1523" s="15" t="str">
        <f>"20190115104"</f>
        <v>20190115104</v>
      </c>
      <c r="D1523" s="17">
        <v>58</v>
      </c>
    </row>
    <row r="1524" spans="1:4" ht="21.75" customHeight="1">
      <c r="A1524" s="20" t="s">
        <v>45</v>
      </c>
      <c r="B1524" s="21" t="s">
        <v>44</v>
      </c>
      <c r="C1524" s="15" t="str">
        <f>"20190115105"</f>
        <v>20190115105</v>
      </c>
      <c r="D1524" s="17">
        <v>62</v>
      </c>
    </row>
    <row r="1525" spans="1:4" ht="21.75" customHeight="1">
      <c r="A1525" s="20" t="s">
        <v>45</v>
      </c>
      <c r="B1525" s="21" t="s">
        <v>44</v>
      </c>
      <c r="C1525" s="15" t="str">
        <f>"20190115106"</f>
        <v>20190115106</v>
      </c>
      <c r="D1525" s="17">
        <v>54</v>
      </c>
    </row>
    <row r="1526" spans="1:4" ht="21.75" customHeight="1">
      <c r="A1526" s="20" t="s">
        <v>45</v>
      </c>
      <c r="B1526" s="21" t="s">
        <v>44</v>
      </c>
      <c r="C1526" s="15" t="str">
        <f>"20190115107"</f>
        <v>20190115107</v>
      </c>
      <c r="D1526" s="17" t="s">
        <v>12</v>
      </c>
    </row>
    <row r="1527" spans="1:4" ht="21.75" customHeight="1">
      <c r="A1527" s="20" t="s">
        <v>45</v>
      </c>
      <c r="B1527" s="21" t="s">
        <v>44</v>
      </c>
      <c r="C1527" s="15" t="str">
        <f>"20190115108"</f>
        <v>20190115108</v>
      </c>
      <c r="D1527" s="17">
        <v>66</v>
      </c>
    </row>
    <row r="1528" spans="1:4" ht="21.75" customHeight="1">
      <c r="A1528" s="20" t="s">
        <v>45</v>
      </c>
      <c r="B1528" s="21" t="s">
        <v>44</v>
      </c>
      <c r="C1528" s="15" t="str">
        <f>"20190115109"</f>
        <v>20190115109</v>
      </c>
      <c r="D1528" s="17" t="s">
        <v>12</v>
      </c>
    </row>
    <row r="1529" spans="1:4" ht="21.75" customHeight="1">
      <c r="A1529" s="20" t="s">
        <v>45</v>
      </c>
      <c r="B1529" s="21" t="s">
        <v>44</v>
      </c>
      <c r="C1529" s="15" t="str">
        <f>"20190115110"</f>
        <v>20190115110</v>
      </c>
      <c r="D1529" s="17" t="s">
        <v>12</v>
      </c>
    </row>
    <row r="1530" spans="1:5" ht="21.75" customHeight="1">
      <c r="A1530" s="20" t="s">
        <v>45</v>
      </c>
      <c r="B1530" s="21" t="s">
        <v>44</v>
      </c>
      <c r="C1530" s="15" t="str">
        <f>"20190115111"</f>
        <v>20190115111</v>
      </c>
      <c r="D1530" s="17">
        <v>60</v>
      </c>
      <c r="E1530" s="19"/>
    </row>
    <row r="1531" spans="1:5" ht="21.75" customHeight="1">
      <c r="A1531" s="20" t="s">
        <v>45</v>
      </c>
      <c r="B1531" s="21" t="s">
        <v>44</v>
      </c>
      <c r="C1531" s="15" t="str">
        <f>"20190115112"</f>
        <v>20190115112</v>
      </c>
      <c r="D1531" s="17" t="s">
        <v>12</v>
      </c>
      <c r="E1531" s="19"/>
    </row>
    <row r="1532" spans="1:5" ht="21.75" customHeight="1">
      <c r="A1532" s="20" t="s">
        <v>45</v>
      </c>
      <c r="B1532" s="21" t="s">
        <v>44</v>
      </c>
      <c r="C1532" s="15" t="str">
        <f>"20190115113"</f>
        <v>20190115113</v>
      </c>
      <c r="D1532" s="17">
        <v>72.5</v>
      </c>
      <c r="E1532" s="18" t="s">
        <v>9</v>
      </c>
    </row>
    <row r="1533" spans="1:4" ht="21.75" customHeight="1">
      <c r="A1533" s="20" t="s">
        <v>45</v>
      </c>
      <c r="B1533" s="21" t="s">
        <v>44</v>
      </c>
      <c r="C1533" s="15" t="str">
        <f>"20190115114"</f>
        <v>20190115114</v>
      </c>
      <c r="D1533" s="17">
        <v>62.5</v>
      </c>
    </row>
    <row r="1534" spans="1:4" ht="21.75" customHeight="1">
      <c r="A1534" s="20" t="s">
        <v>45</v>
      </c>
      <c r="B1534" s="21" t="s">
        <v>44</v>
      </c>
      <c r="C1534" s="15" t="str">
        <f>"20190115115"</f>
        <v>20190115115</v>
      </c>
      <c r="D1534" s="17" t="s">
        <v>12</v>
      </c>
    </row>
    <row r="1535" spans="1:4" ht="21.75" customHeight="1">
      <c r="A1535" s="20" t="s">
        <v>45</v>
      </c>
      <c r="B1535" s="21" t="s">
        <v>44</v>
      </c>
      <c r="C1535" s="15" t="str">
        <f>"20190115116"</f>
        <v>20190115116</v>
      </c>
      <c r="D1535" s="17">
        <v>57.5</v>
      </c>
    </row>
    <row r="1536" spans="1:4" ht="21.75" customHeight="1">
      <c r="A1536" s="20" t="s">
        <v>45</v>
      </c>
      <c r="B1536" s="21" t="s">
        <v>44</v>
      </c>
      <c r="C1536" s="15" t="str">
        <f>"20190115117"</f>
        <v>20190115117</v>
      </c>
      <c r="D1536" s="17">
        <v>62</v>
      </c>
    </row>
    <row r="1537" spans="1:4" ht="21.75" customHeight="1">
      <c r="A1537" s="20" t="s">
        <v>45</v>
      </c>
      <c r="B1537" s="21" t="s">
        <v>44</v>
      </c>
      <c r="C1537" s="15" t="str">
        <f>"20190115118"</f>
        <v>20190115118</v>
      </c>
      <c r="D1537" s="17">
        <v>59</v>
      </c>
    </row>
    <row r="1538" spans="1:4" ht="21.75" customHeight="1">
      <c r="A1538" s="20" t="s">
        <v>45</v>
      </c>
      <c r="B1538" s="21" t="s">
        <v>44</v>
      </c>
      <c r="C1538" s="15" t="str">
        <f>"20190115119"</f>
        <v>20190115119</v>
      </c>
      <c r="D1538" s="17">
        <v>60</v>
      </c>
    </row>
    <row r="1539" spans="1:4" ht="21.75" customHeight="1">
      <c r="A1539" s="20" t="s">
        <v>45</v>
      </c>
      <c r="B1539" s="21" t="s">
        <v>44</v>
      </c>
      <c r="C1539" s="15" t="str">
        <f>"20190115120"</f>
        <v>20190115120</v>
      </c>
      <c r="D1539" s="17">
        <v>57</v>
      </c>
    </row>
    <row r="1540" spans="1:4" ht="21.75" customHeight="1">
      <c r="A1540" s="20" t="s">
        <v>45</v>
      </c>
      <c r="B1540" s="21" t="s">
        <v>44</v>
      </c>
      <c r="C1540" s="15" t="str">
        <f>"20190115121"</f>
        <v>20190115121</v>
      </c>
      <c r="D1540" s="17">
        <v>63</v>
      </c>
    </row>
    <row r="1541" spans="1:4" ht="21.75" customHeight="1">
      <c r="A1541" s="20" t="s">
        <v>45</v>
      </c>
      <c r="B1541" s="21" t="s">
        <v>44</v>
      </c>
      <c r="C1541" s="15" t="str">
        <f>"20190115122"</f>
        <v>20190115122</v>
      </c>
      <c r="D1541" s="17">
        <v>60.5</v>
      </c>
    </row>
    <row r="1542" spans="1:4" ht="21.75" customHeight="1">
      <c r="A1542" s="20" t="s">
        <v>45</v>
      </c>
      <c r="B1542" s="21" t="s">
        <v>44</v>
      </c>
      <c r="C1542" s="15" t="str">
        <f>"20190115123"</f>
        <v>20190115123</v>
      </c>
      <c r="D1542" s="17">
        <v>64</v>
      </c>
    </row>
    <row r="1543" spans="1:4" ht="21.75" customHeight="1">
      <c r="A1543" s="20" t="s">
        <v>45</v>
      </c>
      <c r="B1543" s="21" t="s">
        <v>44</v>
      </c>
      <c r="C1543" s="15" t="str">
        <f>"20190115124"</f>
        <v>20190115124</v>
      </c>
      <c r="D1543" s="17" t="s">
        <v>12</v>
      </c>
    </row>
    <row r="1544" spans="1:4" ht="21.75" customHeight="1">
      <c r="A1544" s="20" t="s">
        <v>45</v>
      </c>
      <c r="B1544" s="21" t="s">
        <v>44</v>
      </c>
      <c r="C1544" s="15" t="str">
        <f>"20190115125"</f>
        <v>20190115125</v>
      </c>
      <c r="D1544" s="17">
        <v>67</v>
      </c>
    </row>
    <row r="1545" spans="1:4" ht="21.75" customHeight="1">
      <c r="A1545" s="20" t="s">
        <v>45</v>
      </c>
      <c r="B1545" s="21" t="s">
        <v>44</v>
      </c>
      <c r="C1545" s="15" t="str">
        <f>"20190115126"</f>
        <v>20190115126</v>
      </c>
      <c r="D1545" s="17">
        <v>58</v>
      </c>
    </row>
    <row r="1546" spans="1:4" ht="21.75" customHeight="1">
      <c r="A1546" s="20" t="s">
        <v>45</v>
      </c>
      <c r="B1546" s="21" t="s">
        <v>44</v>
      </c>
      <c r="C1546" s="15" t="str">
        <f>"20190115127"</f>
        <v>20190115127</v>
      </c>
      <c r="D1546" s="17">
        <v>62</v>
      </c>
    </row>
    <row r="1547" spans="1:4" ht="21.75" customHeight="1">
      <c r="A1547" s="20" t="s">
        <v>45</v>
      </c>
      <c r="B1547" s="21" t="s">
        <v>44</v>
      </c>
      <c r="C1547" s="15" t="str">
        <f>"20190115128"</f>
        <v>20190115128</v>
      </c>
      <c r="D1547" s="17">
        <v>60</v>
      </c>
    </row>
    <row r="1548" spans="1:4" ht="21.75" customHeight="1">
      <c r="A1548" s="20" t="s">
        <v>45</v>
      </c>
      <c r="B1548" s="21" t="s">
        <v>44</v>
      </c>
      <c r="C1548" s="15" t="str">
        <f>"20190115129"</f>
        <v>20190115129</v>
      </c>
      <c r="D1548" s="17">
        <v>59</v>
      </c>
    </row>
    <row r="1549" spans="1:4" ht="21.75" customHeight="1">
      <c r="A1549" s="20" t="s">
        <v>45</v>
      </c>
      <c r="B1549" s="21" t="s">
        <v>44</v>
      </c>
      <c r="C1549" s="15" t="str">
        <f>"20190115130"</f>
        <v>20190115130</v>
      </c>
      <c r="D1549" s="17">
        <v>57</v>
      </c>
    </row>
    <row r="1550" spans="1:4" ht="21.75" customHeight="1">
      <c r="A1550" s="20" t="s">
        <v>45</v>
      </c>
      <c r="B1550" s="21" t="s">
        <v>44</v>
      </c>
      <c r="C1550" s="15" t="str">
        <f>"20190115201"</f>
        <v>20190115201</v>
      </c>
      <c r="D1550" s="17">
        <v>53.5</v>
      </c>
    </row>
    <row r="1551" spans="1:4" ht="21.75" customHeight="1">
      <c r="A1551" s="20" t="s">
        <v>45</v>
      </c>
      <c r="B1551" s="21" t="s">
        <v>44</v>
      </c>
      <c r="C1551" s="15" t="str">
        <f>"20190115202"</f>
        <v>20190115202</v>
      </c>
      <c r="D1551" s="17">
        <v>58.5</v>
      </c>
    </row>
    <row r="1552" spans="1:4" ht="21.75" customHeight="1">
      <c r="A1552" s="20" t="s">
        <v>45</v>
      </c>
      <c r="B1552" s="21" t="s">
        <v>44</v>
      </c>
      <c r="C1552" s="15" t="str">
        <f>"20190115203"</f>
        <v>20190115203</v>
      </c>
      <c r="D1552" s="17" t="s">
        <v>12</v>
      </c>
    </row>
    <row r="1553" spans="1:4" ht="21.75" customHeight="1">
      <c r="A1553" s="20" t="s">
        <v>45</v>
      </c>
      <c r="B1553" s="21" t="s">
        <v>44</v>
      </c>
      <c r="C1553" s="15" t="str">
        <f>"20190115204"</f>
        <v>20190115204</v>
      </c>
      <c r="D1553" s="17" t="s">
        <v>12</v>
      </c>
    </row>
    <row r="1554" spans="1:4" ht="21.75" customHeight="1">
      <c r="A1554" s="20" t="s">
        <v>45</v>
      </c>
      <c r="B1554" s="21" t="s">
        <v>44</v>
      </c>
      <c r="C1554" s="15" t="str">
        <f>"20190115205"</f>
        <v>20190115205</v>
      </c>
      <c r="D1554" s="17">
        <v>55.5</v>
      </c>
    </row>
    <row r="1555" spans="1:4" ht="21.75" customHeight="1">
      <c r="A1555" s="20" t="s">
        <v>45</v>
      </c>
      <c r="B1555" s="21" t="s">
        <v>44</v>
      </c>
      <c r="C1555" s="15" t="str">
        <f>"20190115206"</f>
        <v>20190115206</v>
      </c>
      <c r="D1555" s="17">
        <v>61</v>
      </c>
    </row>
    <row r="1556" spans="1:4" ht="21.75" customHeight="1">
      <c r="A1556" s="20" t="s">
        <v>45</v>
      </c>
      <c r="B1556" s="21" t="s">
        <v>44</v>
      </c>
      <c r="C1556" s="15" t="str">
        <f>"20190115207"</f>
        <v>20190115207</v>
      </c>
      <c r="D1556" s="17">
        <v>54.5</v>
      </c>
    </row>
    <row r="1557" spans="1:4" ht="21.75" customHeight="1">
      <c r="A1557" s="20" t="s">
        <v>45</v>
      </c>
      <c r="B1557" s="21" t="s">
        <v>44</v>
      </c>
      <c r="C1557" s="15" t="str">
        <f>"20190115208"</f>
        <v>20190115208</v>
      </c>
      <c r="D1557" s="17">
        <v>62</v>
      </c>
    </row>
    <row r="1558" spans="1:4" ht="21.75" customHeight="1">
      <c r="A1558" s="20" t="s">
        <v>45</v>
      </c>
      <c r="B1558" s="21" t="s">
        <v>44</v>
      </c>
      <c r="C1558" s="15" t="str">
        <f>"20190115209"</f>
        <v>20190115209</v>
      </c>
      <c r="D1558" s="17">
        <v>67</v>
      </c>
    </row>
    <row r="1559" spans="1:4" ht="21.75" customHeight="1">
      <c r="A1559" s="20" t="s">
        <v>45</v>
      </c>
      <c r="B1559" s="21" t="s">
        <v>44</v>
      </c>
      <c r="C1559" s="15" t="str">
        <f>"20190115210"</f>
        <v>20190115210</v>
      </c>
      <c r="D1559" s="17">
        <v>52</v>
      </c>
    </row>
    <row r="1560" spans="1:4" ht="21.75" customHeight="1">
      <c r="A1560" s="20" t="s">
        <v>45</v>
      </c>
      <c r="B1560" s="21" t="s">
        <v>44</v>
      </c>
      <c r="C1560" s="15" t="str">
        <f>"20190115211"</f>
        <v>20190115211</v>
      </c>
      <c r="D1560" s="17">
        <v>68.5</v>
      </c>
    </row>
    <row r="1561" spans="1:4" ht="21.75" customHeight="1">
      <c r="A1561" s="20" t="s">
        <v>45</v>
      </c>
      <c r="B1561" s="21" t="s">
        <v>44</v>
      </c>
      <c r="C1561" s="15" t="str">
        <f>"20190115212"</f>
        <v>20190115212</v>
      </c>
      <c r="D1561" s="17">
        <v>57</v>
      </c>
    </row>
    <row r="1562" spans="1:4" ht="21.75" customHeight="1">
      <c r="A1562" s="20" t="s">
        <v>45</v>
      </c>
      <c r="B1562" s="21" t="s">
        <v>44</v>
      </c>
      <c r="C1562" s="15" t="str">
        <f>"20190115213"</f>
        <v>20190115213</v>
      </c>
      <c r="D1562" s="17" t="s">
        <v>12</v>
      </c>
    </row>
    <row r="1563" spans="1:4" ht="21.75" customHeight="1">
      <c r="A1563" s="20" t="s">
        <v>45</v>
      </c>
      <c r="B1563" s="21" t="s">
        <v>44</v>
      </c>
      <c r="C1563" s="15" t="str">
        <f>"20190115214"</f>
        <v>20190115214</v>
      </c>
      <c r="D1563" s="17">
        <v>54.5</v>
      </c>
    </row>
    <row r="1564" spans="1:4" ht="21.75" customHeight="1">
      <c r="A1564" s="20" t="s">
        <v>45</v>
      </c>
      <c r="B1564" s="21" t="s">
        <v>44</v>
      </c>
      <c r="C1564" s="15" t="str">
        <f>"20190115215"</f>
        <v>20190115215</v>
      </c>
      <c r="D1564" s="17">
        <v>64.5</v>
      </c>
    </row>
    <row r="1565" spans="1:4" ht="21.75" customHeight="1">
      <c r="A1565" s="20" t="s">
        <v>45</v>
      </c>
      <c r="B1565" s="21" t="s">
        <v>44</v>
      </c>
      <c r="C1565" s="15" t="str">
        <f>"20190115216"</f>
        <v>20190115216</v>
      </c>
      <c r="D1565" s="17">
        <v>54</v>
      </c>
    </row>
    <row r="1566" spans="1:4" ht="21.75" customHeight="1">
      <c r="A1566" s="20" t="s">
        <v>45</v>
      </c>
      <c r="B1566" s="21" t="s">
        <v>44</v>
      </c>
      <c r="C1566" s="15" t="str">
        <f>"20190115217"</f>
        <v>20190115217</v>
      </c>
      <c r="D1566" s="17" t="s">
        <v>12</v>
      </c>
    </row>
    <row r="1567" spans="1:4" ht="21.75" customHeight="1">
      <c r="A1567" s="20" t="s">
        <v>45</v>
      </c>
      <c r="B1567" s="21" t="s">
        <v>44</v>
      </c>
      <c r="C1567" s="15" t="str">
        <f>"20190115218"</f>
        <v>20190115218</v>
      </c>
      <c r="D1567" s="17">
        <v>60.5</v>
      </c>
    </row>
    <row r="1568" spans="1:4" ht="21.75" customHeight="1">
      <c r="A1568" s="20" t="s">
        <v>45</v>
      </c>
      <c r="B1568" s="21" t="s">
        <v>44</v>
      </c>
      <c r="C1568" s="15" t="str">
        <f>"20190115219"</f>
        <v>20190115219</v>
      </c>
      <c r="D1568" s="17">
        <v>52</v>
      </c>
    </row>
    <row r="1569" spans="1:4" ht="21.75" customHeight="1">
      <c r="A1569" s="20" t="s">
        <v>45</v>
      </c>
      <c r="B1569" s="21" t="s">
        <v>44</v>
      </c>
      <c r="C1569" s="15" t="str">
        <f>"20190115220"</f>
        <v>20190115220</v>
      </c>
      <c r="D1569" s="17">
        <v>60</v>
      </c>
    </row>
    <row r="1570" spans="1:4" ht="21.75" customHeight="1">
      <c r="A1570" s="20" t="s">
        <v>45</v>
      </c>
      <c r="B1570" s="21" t="s">
        <v>44</v>
      </c>
      <c r="C1570" s="15" t="str">
        <f>"20190115221"</f>
        <v>20190115221</v>
      </c>
      <c r="D1570" s="17">
        <v>51</v>
      </c>
    </row>
    <row r="1571" spans="1:4" ht="21.75" customHeight="1">
      <c r="A1571" s="20" t="s">
        <v>45</v>
      </c>
      <c r="B1571" s="21" t="s">
        <v>44</v>
      </c>
      <c r="C1571" s="15" t="str">
        <f>"20190115222"</f>
        <v>20190115222</v>
      </c>
      <c r="D1571" s="17">
        <v>70.5</v>
      </c>
    </row>
    <row r="1572" spans="1:4" ht="21.75" customHeight="1">
      <c r="A1572" s="20" t="s">
        <v>45</v>
      </c>
      <c r="B1572" s="21" t="s">
        <v>44</v>
      </c>
      <c r="C1572" s="15" t="str">
        <f>"20190115223"</f>
        <v>20190115223</v>
      </c>
      <c r="D1572" s="17">
        <v>52.5</v>
      </c>
    </row>
    <row r="1573" spans="1:4" ht="21.75" customHeight="1">
      <c r="A1573" s="20" t="s">
        <v>45</v>
      </c>
      <c r="B1573" s="21" t="s">
        <v>44</v>
      </c>
      <c r="C1573" s="15" t="str">
        <f>"20190115224"</f>
        <v>20190115224</v>
      </c>
      <c r="D1573" s="17" t="s">
        <v>12</v>
      </c>
    </row>
    <row r="1574" spans="1:4" ht="21.75" customHeight="1">
      <c r="A1574" s="20" t="s">
        <v>45</v>
      </c>
      <c r="B1574" s="21" t="s">
        <v>44</v>
      </c>
      <c r="C1574" s="15" t="str">
        <f>"20190115225"</f>
        <v>20190115225</v>
      </c>
      <c r="D1574" s="17" t="s">
        <v>12</v>
      </c>
    </row>
    <row r="1575" spans="1:4" ht="21.75" customHeight="1">
      <c r="A1575" s="20" t="s">
        <v>45</v>
      </c>
      <c r="B1575" s="21" t="s">
        <v>44</v>
      </c>
      <c r="C1575" s="15" t="str">
        <f>"20190115226"</f>
        <v>20190115226</v>
      </c>
      <c r="D1575" s="17">
        <v>58.5</v>
      </c>
    </row>
    <row r="1576" spans="1:4" ht="21.75" customHeight="1">
      <c r="A1576" s="20" t="s">
        <v>45</v>
      </c>
      <c r="B1576" s="21" t="s">
        <v>44</v>
      </c>
      <c r="C1576" s="15" t="str">
        <f>"20190115227"</f>
        <v>20190115227</v>
      </c>
      <c r="D1576" s="17">
        <v>52</v>
      </c>
    </row>
    <row r="1577" spans="1:4" ht="21.75" customHeight="1">
      <c r="A1577" s="20" t="s">
        <v>45</v>
      </c>
      <c r="B1577" s="21" t="s">
        <v>44</v>
      </c>
      <c r="C1577" s="15" t="str">
        <f>"20190115228"</f>
        <v>20190115228</v>
      </c>
      <c r="D1577" s="17">
        <v>63</v>
      </c>
    </row>
    <row r="1578" spans="1:4" ht="21.75" customHeight="1">
      <c r="A1578" s="20" t="s">
        <v>45</v>
      </c>
      <c r="B1578" s="21" t="s">
        <v>44</v>
      </c>
      <c r="C1578" s="15" t="str">
        <f>"20190115229"</f>
        <v>20190115229</v>
      </c>
      <c r="D1578" s="17">
        <v>58</v>
      </c>
    </row>
    <row r="1579" spans="1:4" ht="21.75" customHeight="1">
      <c r="A1579" s="20" t="s">
        <v>45</v>
      </c>
      <c r="B1579" s="21" t="s">
        <v>44</v>
      </c>
      <c r="C1579" s="15" t="str">
        <f>"20190115230"</f>
        <v>20190115230</v>
      </c>
      <c r="D1579" s="17">
        <v>63.5</v>
      </c>
    </row>
    <row r="1580" spans="1:4" ht="21.75" customHeight="1">
      <c r="A1580" s="20" t="s">
        <v>45</v>
      </c>
      <c r="B1580" s="21" t="s">
        <v>44</v>
      </c>
      <c r="C1580" s="15" t="str">
        <f>"20190115301"</f>
        <v>20190115301</v>
      </c>
      <c r="D1580" s="17">
        <v>63</v>
      </c>
    </row>
    <row r="1581" spans="1:4" ht="21.75" customHeight="1">
      <c r="A1581" s="20" t="s">
        <v>45</v>
      </c>
      <c r="B1581" s="21" t="s">
        <v>44</v>
      </c>
      <c r="C1581" s="15" t="str">
        <f>"20190115302"</f>
        <v>20190115302</v>
      </c>
      <c r="D1581" s="17">
        <v>63.5</v>
      </c>
    </row>
    <row r="1582" spans="1:4" ht="21.75" customHeight="1">
      <c r="A1582" s="20" t="s">
        <v>45</v>
      </c>
      <c r="B1582" s="21" t="s">
        <v>44</v>
      </c>
      <c r="C1582" s="15" t="str">
        <f>"20190115303"</f>
        <v>20190115303</v>
      </c>
      <c r="D1582" s="17">
        <v>56</v>
      </c>
    </row>
    <row r="1583" spans="1:4" ht="21.75" customHeight="1">
      <c r="A1583" s="20" t="s">
        <v>45</v>
      </c>
      <c r="B1583" s="21" t="s">
        <v>44</v>
      </c>
      <c r="C1583" s="15" t="str">
        <f>"20190115304"</f>
        <v>20190115304</v>
      </c>
      <c r="D1583" s="17">
        <v>56.5</v>
      </c>
    </row>
    <row r="1584" spans="1:4" ht="21.75" customHeight="1">
      <c r="A1584" s="20" t="s">
        <v>45</v>
      </c>
      <c r="B1584" s="21" t="s">
        <v>44</v>
      </c>
      <c r="C1584" s="15" t="str">
        <f>"20190115305"</f>
        <v>20190115305</v>
      </c>
      <c r="D1584" s="17">
        <v>58</v>
      </c>
    </row>
    <row r="1585" spans="1:4" ht="21.75" customHeight="1">
      <c r="A1585" s="20" t="s">
        <v>45</v>
      </c>
      <c r="B1585" s="21" t="s">
        <v>44</v>
      </c>
      <c r="C1585" s="15" t="str">
        <f>"20190115306"</f>
        <v>20190115306</v>
      </c>
      <c r="D1585" s="17" t="s">
        <v>12</v>
      </c>
    </row>
    <row r="1586" spans="1:4" ht="21.75" customHeight="1">
      <c r="A1586" s="20" t="s">
        <v>45</v>
      </c>
      <c r="B1586" s="21" t="s">
        <v>44</v>
      </c>
      <c r="C1586" s="15" t="str">
        <f>"20190115307"</f>
        <v>20190115307</v>
      </c>
      <c r="D1586" s="17">
        <v>57.5</v>
      </c>
    </row>
    <row r="1587" spans="1:4" ht="21.75" customHeight="1">
      <c r="A1587" s="20" t="s">
        <v>45</v>
      </c>
      <c r="B1587" s="21" t="s">
        <v>44</v>
      </c>
      <c r="C1587" s="15" t="str">
        <f>"20190115308"</f>
        <v>20190115308</v>
      </c>
      <c r="D1587" s="17">
        <v>61</v>
      </c>
    </row>
    <row r="1588" spans="1:4" ht="21.75" customHeight="1">
      <c r="A1588" s="20" t="s">
        <v>45</v>
      </c>
      <c r="B1588" s="21" t="s">
        <v>44</v>
      </c>
      <c r="C1588" s="15" t="str">
        <f>"20190115309"</f>
        <v>20190115309</v>
      </c>
      <c r="D1588" s="17">
        <v>56.5</v>
      </c>
    </row>
    <row r="1589" spans="1:4" ht="21.75" customHeight="1">
      <c r="A1589" s="20" t="s">
        <v>45</v>
      </c>
      <c r="B1589" s="21" t="s">
        <v>44</v>
      </c>
      <c r="C1589" s="15" t="str">
        <f>"20190115310"</f>
        <v>20190115310</v>
      </c>
      <c r="D1589" s="17">
        <v>54</v>
      </c>
    </row>
    <row r="1590" spans="1:4" ht="21.75" customHeight="1">
      <c r="A1590" s="20" t="s">
        <v>45</v>
      </c>
      <c r="B1590" s="21" t="s">
        <v>44</v>
      </c>
      <c r="C1590" s="15" t="str">
        <f>"20190115311"</f>
        <v>20190115311</v>
      </c>
      <c r="D1590" s="17" t="s">
        <v>12</v>
      </c>
    </row>
    <row r="1591" spans="1:4" ht="21.75" customHeight="1">
      <c r="A1591" s="20" t="s">
        <v>45</v>
      </c>
      <c r="B1591" s="21" t="s">
        <v>44</v>
      </c>
      <c r="C1591" s="15" t="str">
        <f>"20190115312"</f>
        <v>20190115312</v>
      </c>
      <c r="D1591" s="17">
        <v>49</v>
      </c>
    </row>
    <row r="1592" spans="1:4" ht="21.75" customHeight="1">
      <c r="A1592" s="20" t="s">
        <v>45</v>
      </c>
      <c r="B1592" s="21" t="s">
        <v>44</v>
      </c>
      <c r="C1592" s="15" t="str">
        <f>"20190115313"</f>
        <v>20190115313</v>
      </c>
      <c r="D1592" s="17">
        <v>59.5</v>
      </c>
    </row>
    <row r="1593" spans="1:4" ht="21.75" customHeight="1">
      <c r="A1593" s="20" t="s">
        <v>45</v>
      </c>
      <c r="B1593" s="21" t="s">
        <v>44</v>
      </c>
      <c r="C1593" s="15" t="str">
        <f>"20190115314"</f>
        <v>20190115314</v>
      </c>
      <c r="D1593" s="17">
        <v>53.5</v>
      </c>
    </row>
    <row r="1594" spans="1:4" ht="21.75" customHeight="1">
      <c r="A1594" s="20" t="s">
        <v>45</v>
      </c>
      <c r="B1594" s="21" t="s">
        <v>44</v>
      </c>
      <c r="C1594" s="15" t="str">
        <f>"20190115315"</f>
        <v>20190115315</v>
      </c>
      <c r="D1594" s="17">
        <v>69</v>
      </c>
    </row>
    <row r="1595" spans="1:4" ht="21.75" customHeight="1">
      <c r="A1595" s="20" t="s">
        <v>45</v>
      </c>
      <c r="B1595" s="21" t="s">
        <v>44</v>
      </c>
      <c r="C1595" s="15" t="str">
        <f>"20190115316"</f>
        <v>20190115316</v>
      </c>
      <c r="D1595" s="17">
        <v>60</v>
      </c>
    </row>
    <row r="1596" spans="1:4" ht="21.75" customHeight="1">
      <c r="A1596" s="20" t="s">
        <v>45</v>
      </c>
      <c r="B1596" s="21" t="s">
        <v>44</v>
      </c>
      <c r="C1596" s="15" t="str">
        <f>"20190115317"</f>
        <v>20190115317</v>
      </c>
      <c r="D1596" s="17" t="s">
        <v>12</v>
      </c>
    </row>
    <row r="1597" spans="1:4" ht="21.75" customHeight="1">
      <c r="A1597" s="20" t="s">
        <v>45</v>
      </c>
      <c r="B1597" s="21" t="s">
        <v>44</v>
      </c>
      <c r="C1597" s="15" t="str">
        <f>"20190115318"</f>
        <v>20190115318</v>
      </c>
      <c r="D1597" s="17" t="s">
        <v>12</v>
      </c>
    </row>
    <row r="1598" spans="1:4" ht="21.75" customHeight="1">
      <c r="A1598" s="20" t="s">
        <v>45</v>
      </c>
      <c r="B1598" s="21" t="s">
        <v>44</v>
      </c>
      <c r="C1598" s="15" t="str">
        <f>"20190115319"</f>
        <v>20190115319</v>
      </c>
      <c r="D1598" s="22">
        <v>58</v>
      </c>
    </row>
    <row r="1599" spans="1:4" ht="21.75" customHeight="1">
      <c r="A1599" s="20" t="s">
        <v>45</v>
      </c>
      <c r="B1599" s="21" t="s">
        <v>44</v>
      </c>
      <c r="C1599" s="15" t="str">
        <f>"20190115320"</f>
        <v>20190115320</v>
      </c>
      <c r="D1599" s="17">
        <v>67</v>
      </c>
    </row>
    <row r="1600" spans="1:4" ht="21.75" customHeight="1">
      <c r="A1600" s="20" t="s">
        <v>45</v>
      </c>
      <c r="B1600" s="21" t="s">
        <v>44</v>
      </c>
      <c r="C1600" s="15" t="str">
        <f>"20190115321"</f>
        <v>20190115321</v>
      </c>
      <c r="D1600" s="17">
        <v>58</v>
      </c>
    </row>
    <row r="1601" spans="1:4" ht="21.75" customHeight="1">
      <c r="A1601" s="20" t="s">
        <v>45</v>
      </c>
      <c r="B1601" s="21" t="s">
        <v>44</v>
      </c>
      <c r="C1601" s="15" t="str">
        <f>"20190115322"</f>
        <v>20190115322</v>
      </c>
      <c r="D1601" s="17">
        <v>63</v>
      </c>
    </row>
    <row r="1602" spans="1:4" ht="21.75" customHeight="1">
      <c r="A1602" s="20" t="s">
        <v>45</v>
      </c>
      <c r="B1602" s="21" t="s">
        <v>44</v>
      </c>
      <c r="C1602" s="15" t="str">
        <f>"20190115323"</f>
        <v>20190115323</v>
      </c>
      <c r="D1602" s="17" t="s">
        <v>12</v>
      </c>
    </row>
    <row r="1603" spans="1:4" ht="21.75" customHeight="1">
      <c r="A1603" s="20" t="s">
        <v>45</v>
      </c>
      <c r="B1603" s="21" t="s">
        <v>44</v>
      </c>
      <c r="C1603" s="15" t="str">
        <f>"20190115324"</f>
        <v>20190115324</v>
      </c>
      <c r="D1603" s="17">
        <v>61</v>
      </c>
    </row>
    <row r="1604" spans="1:4" ht="21.75" customHeight="1">
      <c r="A1604" s="20" t="s">
        <v>45</v>
      </c>
      <c r="B1604" s="21" t="s">
        <v>44</v>
      </c>
      <c r="C1604" s="15" t="str">
        <f>"20190115325"</f>
        <v>20190115325</v>
      </c>
      <c r="D1604" s="17">
        <v>62</v>
      </c>
    </row>
    <row r="1605" spans="1:4" ht="21.75" customHeight="1">
      <c r="A1605" s="20" t="s">
        <v>45</v>
      </c>
      <c r="B1605" s="21" t="s">
        <v>44</v>
      </c>
      <c r="C1605" s="15" t="str">
        <f>"20190115326"</f>
        <v>20190115326</v>
      </c>
      <c r="D1605" s="17">
        <v>64</v>
      </c>
    </row>
    <row r="1606" spans="1:4" ht="21.75" customHeight="1">
      <c r="A1606" s="20" t="s">
        <v>45</v>
      </c>
      <c r="B1606" s="21" t="s">
        <v>44</v>
      </c>
      <c r="C1606" s="15" t="str">
        <f>"20190115327"</f>
        <v>20190115327</v>
      </c>
      <c r="D1606" s="17">
        <v>58.5</v>
      </c>
    </row>
    <row r="1607" spans="1:4" ht="21.75" customHeight="1">
      <c r="A1607" s="20" t="s">
        <v>45</v>
      </c>
      <c r="B1607" s="21" t="s">
        <v>44</v>
      </c>
      <c r="C1607" s="15" t="str">
        <f>"20190115328"</f>
        <v>20190115328</v>
      </c>
      <c r="D1607" s="17">
        <v>56</v>
      </c>
    </row>
    <row r="1608" spans="1:4" ht="21.75" customHeight="1">
      <c r="A1608" s="20" t="s">
        <v>45</v>
      </c>
      <c r="B1608" s="21" t="s">
        <v>44</v>
      </c>
      <c r="C1608" s="15" t="str">
        <f>"20190115329"</f>
        <v>20190115329</v>
      </c>
      <c r="D1608" s="17">
        <v>54.5</v>
      </c>
    </row>
    <row r="1609" spans="1:4" ht="21.75" customHeight="1">
      <c r="A1609" s="20" t="s">
        <v>45</v>
      </c>
      <c r="B1609" s="21" t="s">
        <v>44</v>
      </c>
      <c r="C1609" s="15" t="str">
        <f>"20190115330"</f>
        <v>20190115330</v>
      </c>
      <c r="D1609" s="17" t="s">
        <v>12</v>
      </c>
    </row>
    <row r="1610" spans="1:4" ht="21.75" customHeight="1">
      <c r="A1610" s="20" t="s">
        <v>45</v>
      </c>
      <c r="B1610" s="21" t="s">
        <v>44</v>
      </c>
      <c r="C1610" s="15" t="str">
        <f>"20190115401"</f>
        <v>20190115401</v>
      </c>
      <c r="D1610" s="17" t="s">
        <v>12</v>
      </c>
    </row>
    <row r="1611" spans="1:4" ht="21.75" customHeight="1">
      <c r="A1611" s="20" t="s">
        <v>45</v>
      </c>
      <c r="B1611" s="21" t="s">
        <v>44</v>
      </c>
      <c r="C1611" s="15" t="str">
        <f>"20190115402"</f>
        <v>20190115402</v>
      </c>
      <c r="D1611" s="17">
        <v>67</v>
      </c>
    </row>
    <row r="1612" spans="1:4" ht="21.75" customHeight="1">
      <c r="A1612" s="20" t="s">
        <v>45</v>
      </c>
      <c r="B1612" s="21" t="s">
        <v>44</v>
      </c>
      <c r="C1612" s="15" t="str">
        <f>"20190115403"</f>
        <v>20190115403</v>
      </c>
      <c r="D1612" s="17">
        <v>65</v>
      </c>
    </row>
    <row r="1613" spans="1:4" ht="21.75" customHeight="1">
      <c r="A1613" s="20" t="s">
        <v>45</v>
      </c>
      <c r="B1613" s="21" t="s">
        <v>44</v>
      </c>
      <c r="C1613" s="15" t="str">
        <f>"20190115404"</f>
        <v>20190115404</v>
      </c>
      <c r="D1613" s="17" t="s">
        <v>12</v>
      </c>
    </row>
    <row r="1614" spans="1:4" ht="21.75" customHeight="1">
      <c r="A1614" s="20" t="s">
        <v>45</v>
      </c>
      <c r="B1614" s="21" t="s">
        <v>44</v>
      </c>
      <c r="C1614" s="15" t="str">
        <f>"20190115405"</f>
        <v>20190115405</v>
      </c>
      <c r="D1614" s="17">
        <v>66</v>
      </c>
    </row>
    <row r="1615" spans="1:4" ht="21.75" customHeight="1">
      <c r="A1615" s="20" t="s">
        <v>45</v>
      </c>
      <c r="B1615" s="21" t="s">
        <v>44</v>
      </c>
      <c r="C1615" s="15" t="str">
        <f>"20190115406"</f>
        <v>20190115406</v>
      </c>
      <c r="D1615" s="17" t="s">
        <v>12</v>
      </c>
    </row>
    <row r="1616" spans="1:4" ht="21.75" customHeight="1">
      <c r="A1616" s="20" t="s">
        <v>45</v>
      </c>
      <c r="B1616" s="21" t="s">
        <v>44</v>
      </c>
      <c r="C1616" s="15" t="str">
        <f>"20190115407"</f>
        <v>20190115407</v>
      </c>
      <c r="D1616" s="17">
        <v>56.5</v>
      </c>
    </row>
    <row r="1617" spans="1:4" ht="21.75" customHeight="1">
      <c r="A1617" s="20" t="s">
        <v>45</v>
      </c>
      <c r="B1617" s="21" t="s">
        <v>44</v>
      </c>
      <c r="C1617" s="15" t="str">
        <f>"20190115408"</f>
        <v>20190115408</v>
      </c>
      <c r="D1617" s="17">
        <v>59.5</v>
      </c>
    </row>
    <row r="1618" spans="1:4" ht="21.75" customHeight="1">
      <c r="A1618" s="20" t="s">
        <v>45</v>
      </c>
      <c r="B1618" s="21" t="s">
        <v>44</v>
      </c>
      <c r="C1618" s="15" t="str">
        <f>"20190115409"</f>
        <v>20190115409</v>
      </c>
      <c r="D1618" s="17">
        <v>54.5</v>
      </c>
    </row>
    <row r="1619" spans="1:4" ht="21.75" customHeight="1">
      <c r="A1619" s="20" t="s">
        <v>45</v>
      </c>
      <c r="B1619" s="21" t="s">
        <v>44</v>
      </c>
      <c r="C1619" s="15" t="str">
        <f>"20190115410"</f>
        <v>20190115410</v>
      </c>
      <c r="D1619" s="17">
        <v>55.5</v>
      </c>
    </row>
    <row r="1620" spans="1:4" ht="21.75" customHeight="1">
      <c r="A1620" s="20" t="s">
        <v>45</v>
      </c>
      <c r="B1620" s="21" t="s">
        <v>44</v>
      </c>
      <c r="C1620" s="15" t="str">
        <f>"20190115411"</f>
        <v>20190115411</v>
      </c>
      <c r="D1620" s="17">
        <v>46.5</v>
      </c>
    </row>
    <row r="1621" spans="1:4" ht="21.75" customHeight="1">
      <c r="A1621" s="20" t="s">
        <v>45</v>
      </c>
      <c r="B1621" s="21" t="s">
        <v>44</v>
      </c>
      <c r="C1621" s="15" t="str">
        <f>"20190115412"</f>
        <v>20190115412</v>
      </c>
      <c r="D1621" s="17">
        <v>57.5</v>
      </c>
    </row>
    <row r="1622" spans="1:4" ht="21.75" customHeight="1">
      <c r="A1622" s="20" t="s">
        <v>45</v>
      </c>
      <c r="B1622" s="21" t="s">
        <v>44</v>
      </c>
      <c r="C1622" s="15" t="str">
        <f>"20190115413"</f>
        <v>20190115413</v>
      </c>
      <c r="D1622" s="17">
        <v>61</v>
      </c>
    </row>
    <row r="1623" spans="1:4" ht="21.75" customHeight="1">
      <c r="A1623" s="20" t="s">
        <v>45</v>
      </c>
      <c r="B1623" s="21" t="s">
        <v>44</v>
      </c>
      <c r="C1623" s="15" t="str">
        <f>"20190115414"</f>
        <v>20190115414</v>
      </c>
      <c r="D1623" s="17" t="s">
        <v>12</v>
      </c>
    </row>
    <row r="1624" spans="1:4" ht="21.75" customHeight="1">
      <c r="A1624" s="20" t="s">
        <v>45</v>
      </c>
      <c r="B1624" s="21" t="s">
        <v>44</v>
      </c>
      <c r="C1624" s="15" t="str">
        <f>"20190115415"</f>
        <v>20190115415</v>
      </c>
      <c r="D1624" s="17" t="s">
        <v>12</v>
      </c>
    </row>
    <row r="1625" spans="1:4" ht="21.75" customHeight="1">
      <c r="A1625" s="20" t="s">
        <v>45</v>
      </c>
      <c r="B1625" s="21" t="s">
        <v>44</v>
      </c>
      <c r="C1625" s="15" t="str">
        <f>"20190115416"</f>
        <v>20190115416</v>
      </c>
      <c r="D1625" s="17" t="s">
        <v>12</v>
      </c>
    </row>
    <row r="1626" spans="1:4" ht="21.75" customHeight="1">
      <c r="A1626" s="20" t="s">
        <v>45</v>
      </c>
      <c r="B1626" s="21" t="s">
        <v>44</v>
      </c>
      <c r="C1626" s="15" t="str">
        <f>"20190115417"</f>
        <v>20190115417</v>
      </c>
      <c r="D1626" s="17">
        <v>63</v>
      </c>
    </row>
    <row r="1627" spans="1:4" ht="21.75" customHeight="1">
      <c r="A1627" s="20" t="s">
        <v>45</v>
      </c>
      <c r="B1627" s="21" t="s">
        <v>44</v>
      </c>
      <c r="C1627" s="15" t="str">
        <f>"20190115418"</f>
        <v>20190115418</v>
      </c>
      <c r="D1627" s="17">
        <v>58</v>
      </c>
    </row>
    <row r="1628" spans="1:4" ht="21.75" customHeight="1">
      <c r="A1628" s="20" t="s">
        <v>45</v>
      </c>
      <c r="B1628" s="21" t="s">
        <v>44</v>
      </c>
      <c r="C1628" s="15" t="str">
        <f>"20190115419"</f>
        <v>20190115419</v>
      </c>
      <c r="D1628" s="17">
        <v>50</v>
      </c>
    </row>
    <row r="1629" spans="1:4" ht="21.75" customHeight="1">
      <c r="A1629" s="20" t="s">
        <v>45</v>
      </c>
      <c r="B1629" s="21" t="s">
        <v>44</v>
      </c>
      <c r="C1629" s="15" t="str">
        <f>"20190115420"</f>
        <v>20190115420</v>
      </c>
      <c r="D1629" s="17">
        <v>55</v>
      </c>
    </row>
    <row r="1630" spans="1:4" ht="21.75" customHeight="1">
      <c r="A1630" s="20" t="s">
        <v>45</v>
      </c>
      <c r="B1630" s="21" t="s">
        <v>44</v>
      </c>
      <c r="C1630" s="15" t="str">
        <f>"20190115421"</f>
        <v>20190115421</v>
      </c>
      <c r="D1630" s="17">
        <v>55</v>
      </c>
    </row>
    <row r="1631" spans="1:5" ht="21.75" customHeight="1">
      <c r="A1631" s="15" t="s">
        <v>46</v>
      </c>
      <c r="B1631" s="16" t="s">
        <v>47</v>
      </c>
      <c r="C1631" s="15" t="str">
        <f>"20190115422"</f>
        <v>20190115422</v>
      </c>
      <c r="D1631" s="17">
        <v>69</v>
      </c>
      <c r="E1631" s="18" t="s">
        <v>9</v>
      </c>
    </row>
    <row r="1632" spans="1:5" ht="21.75" customHeight="1">
      <c r="A1632" s="15" t="s">
        <v>46</v>
      </c>
      <c r="B1632" s="16" t="s">
        <v>47</v>
      </c>
      <c r="C1632" s="15" t="str">
        <f>"20190115423"</f>
        <v>20190115423</v>
      </c>
      <c r="D1632" s="17">
        <v>67.5</v>
      </c>
      <c r="E1632" s="18" t="s">
        <v>9</v>
      </c>
    </row>
    <row r="1633" spans="1:5" ht="21.75" customHeight="1">
      <c r="A1633" s="15" t="s">
        <v>46</v>
      </c>
      <c r="B1633" s="16" t="s">
        <v>47</v>
      </c>
      <c r="C1633" s="15" t="str">
        <f>"20190115424"</f>
        <v>20190115424</v>
      </c>
      <c r="D1633" s="17">
        <v>55.5</v>
      </c>
      <c r="E1633" s="18" t="s">
        <v>9</v>
      </c>
    </row>
    <row r="1634" spans="1:4" ht="21.75" customHeight="1">
      <c r="A1634" s="15" t="s">
        <v>46</v>
      </c>
      <c r="B1634" s="16" t="s">
        <v>47</v>
      </c>
      <c r="C1634" s="15" t="str">
        <f>"20190115425"</f>
        <v>20190115425</v>
      </c>
      <c r="D1634" s="17" t="s">
        <v>12</v>
      </c>
    </row>
    <row r="1635" spans="1:4" ht="21.75" customHeight="1">
      <c r="A1635" s="20" t="s">
        <v>48</v>
      </c>
      <c r="B1635" s="21" t="s">
        <v>16</v>
      </c>
      <c r="C1635" s="15" t="str">
        <f>"20190115426"</f>
        <v>20190115426</v>
      </c>
      <c r="D1635" s="17" t="s">
        <v>12</v>
      </c>
    </row>
    <row r="1636" spans="1:5" ht="21.75" customHeight="1">
      <c r="A1636" s="20" t="s">
        <v>48</v>
      </c>
      <c r="B1636" s="21" t="s">
        <v>16</v>
      </c>
      <c r="C1636" s="15" t="str">
        <f>"20190115427"</f>
        <v>20190115427</v>
      </c>
      <c r="D1636" s="17">
        <v>68.5</v>
      </c>
      <c r="E1636" s="18" t="s">
        <v>9</v>
      </c>
    </row>
    <row r="1637" spans="1:4" ht="21.75" customHeight="1">
      <c r="A1637" s="20" t="s">
        <v>48</v>
      </c>
      <c r="B1637" s="21" t="s">
        <v>16</v>
      </c>
      <c r="C1637" s="15" t="str">
        <f>"20190115428"</f>
        <v>20190115428</v>
      </c>
      <c r="D1637" s="17" t="s">
        <v>12</v>
      </c>
    </row>
    <row r="1638" spans="1:4" ht="21.75" customHeight="1">
      <c r="A1638" s="20" t="s">
        <v>48</v>
      </c>
      <c r="B1638" s="21" t="s">
        <v>16</v>
      </c>
      <c r="C1638" s="15" t="str">
        <f>"20190115429"</f>
        <v>20190115429</v>
      </c>
      <c r="D1638" s="17">
        <v>63</v>
      </c>
    </row>
    <row r="1639" spans="1:5" ht="21.75" customHeight="1">
      <c r="A1639" s="20" t="s">
        <v>48</v>
      </c>
      <c r="B1639" s="21" t="s">
        <v>16</v>
      </c>
      <c r="C1639" s="15" t="str">
        <f>"20190115430"</f>
        <v>20190115430</v>
      </c>
      <c r="D1639" s="17">
        <v>64</v>
      </c>
      <c r="E1639" s="18" t="s">
        <v>9</v>
      </c>
    </row>
    <row r="1640" spans="1:4" ht="21.75" customHeight="1">
      <c r="A1640" s="20" t="s">
        <v>48</v>
      </c>
      <c r="B1640" s="21" t="s">
        <v>16</v>
      </c>
      <c r="C1640" s="15" t="str">
        <f>"20190115501"</f>
        <v>20190115501</v>
      </c>
      <c r="D1640" s="17" t="s">
        <v>12</v>
      </c>
    </row>
    <row r="1641" spans="1:5" ht="21.75" customHeight="1">
      <c r="A1641" s="20" t="s">
        <v>48</v>
      </c>
      <c r="B1641" s="21" t="s">
        <v>16</v>
      </c>
      <c r="C1641" s="15" t="str">
        <f>"20190115502"</f>
        <v>20190115502</v>
      </c>
      <c r="D1641" s="17">
        <v>67.5</v>
      </c>
      <c r="E1641" s="18" t="s">
        <v>9</v>
      </c>
    </row>
    <row r="1642" spans="1:4" ht="21.75" customHeight="1">
      <c r="A1642" s="15" t="s">
        <v>49</v>
      </c>
      <c r="B1642" s="16" t="s">
        <v>19</v>
      </c>
      <c r="C1642" s="15" t="str">
        <f>"20190115503"</f>
        <v>20190115503</v>
      </c>
      <c r="D1642" s="17">
        <v>49</v>
      </c>
    </row>
    <row r="1643" spans="1:4" ht="21.75" customHeight="1">
      <c r="A1643" s="15" t="s">
        <v>49</v>
      </c>
      <c r="B1643" s="16" t="s">
        <v>19</v>
      </c>
      <c r="C1643" s="15" t="str">
        <f>"20190115504"</f>
        <v>20190115504</v>
      </c>
      <c r="D1643" s="17">
        <v>60</v>
      </c>
    </row>
    <row r="1644" spans="1:4" ht="21.75" customHeight="1">
      <c r="A1644" s="15" t="s">
        <v>49</v>
      </c>
      <c r="B1644" s="16" t="s">
        <v>19</v>
      </c>
      <c r="C1644" s="15" t="str">
        <f>"20190115505"</f>
        <v>20190115505</v>
      </c>
      <c r="D1644" s="17" t="s">
        <v>12</v>
      </c>
    </row>
    <row r="1645" spans="1:5" ht="21.75" customHeight="1">
      <c r="A1645" s="15" t="s">
        <v>49</v>
      </c>
      <c r="B1645" s="16" t="s">
        <v>19</v>
      </c>
      <c r="C1645" s="15" t="str">
        <f>"20190115506"</f>
        <v>20190115506</v>
      </c>
      <c r="D1645" s="17">
        <v>67</v>
      </c>
      <c r="E1645" s="18" t="s">
        <v>9</v>
      </c>
    </row>
    <row r="1646" spans="1:4" ht="21.75" customHeight="1">
      <c r="A1646" s="15" t="s">
        <v>49</v>
      </c>
      <c r="B1646" s="16" t="s">
        <v>19</v>
      </c>
      <c r="C1646" s="15" t="str">
        <f>"20190115507"</f>
        <v>20190115507</v>
      </c>
      <c r="D1646" s="17">
        <v>44.5</v>
      </c>
    </row>
    <row r="1647" spans="1:4" ht="21.75" customHeight="1">
      <c r="A1647" s="15" t="s">
        <v>49</v>
      </c>
      <c r="B1647" s="16" t="s">
        <v>19</v>
      </c>
      <c r="C1647" s="15" t="str">
        <f>"20190115508"</f>
        <v>20190115508</v>
      </c>
      <c r="D1647" s="17">
        <v>58</v>
      </c>
    </row>
    <row r="1648" spans="1:4" ht="21.75" customHeight="1">
      <c r="A1648" s="15" t="s">
        <v>49</v>
      </c>
      <c r="B1648" s="16" t="s">
        <v>19</v>
      </c>
      <c r="C1648" s="15" t="str">
        <f>"20190115509"</f>
        <v>20190115509</v>
      </c>
      <c r="D1648" s="17">
        <v>54.5</v>
      </c>
    </row>
    <row r="1649" spans="1:4" ht="21.75" customHeight="1">
      <c r="A1649" s="15" t="s">
        <v>49</v>
      </c>
      <c r="B1649" s="16" t="s">
        <v>19</v>
      </c>
      <c r="C1649" s="15" t="str">
        <f>"20190115510"</f>
        <v>20190115510</v>
      </c>
      <c r="D1649" s="17">
        <v>56.5</v>
      </c>
    </row>
    <row r="1650" spans="1:4" ht="21.75" customHeight="1">
      <c r="A1650" s="15" t="s">
        <v>49</v>
      </c>
      <c r="B1650" s="16" t="s">
        <v>19</v>
      </c>
      <c r="C1650" s="15" t="str">
        <f>"20190115511"</f>
        <v>20190115511</v>
      </c>
      <c r="D1650" s="17">
        <v>61</v>
      </c>
    </row>
    <row r="1651" spans="1:5" ht="21.75" customHeight="1">
      <c r="A1651" s="15" t="s">
        <v>49</v>
      </c>
      <c r="B1651" s="16" t="s">
        <v>19</v>
      </c>
      <c r="C1651" s="15" t="str">
        <f>"20190115512"</f>
        <v>20190115512</v>
      </c>
      <c r="D1651" s="17">
        <v>66.5</v>
      </c>
      <c r="E1651" s="18" t="s">
        <v>9</v>
      </c>
    </row>
    <row r="1652" spans="1:4" ht="21.75" customHeight="1">
      <c r="A1652" s="15" t="s">
        <v>49</v>
      </c>
      <c r="B1652" s="16" t="s">
        <v>19</v>
      </c>
      <c r="C1652" s="15" t="str">
        <f>"20190115513"</f>
        <v>20190115513</v>
      </c>
      <c r="D1652" s="17">
        <v>56</v>
      </c>
    </row>
    <row r="1653" spans="1:4" ht="21.75" customHeight="1">
      <c r="A1653" s="15" t="s">
        <v>49</v>
      </c>
      <c r="B1653" s="16" t="s">
        <v>19</v>
      </c>
      <c r="C1653" s="15" t="str">
        <f>"20190115514"</f>
        <v>20190115514</v>
      </c>
      <c r="D1653" s="17">
        <v>47</v>
      </c>
    </row>
    <row r="1654" spans="1:4" ht="21.75" customHeight="1">
      <c r="A1654" s="15" t="s">
        <v>49</v>
      </c>
      <c r="B1654" s="16" t="s">
        <v>19</v>
      </c>
      <c r="C1654" s="15" t="str">
        <f>"20190115515"</f>
        <v>20190115515</v>
      </c>
      <c r="D1654" s="17" t="s">
        <v>12</v>
      </c>
    </row>
    <row r="1655" spans="1:4" ht="21.75" customHeight="1">
      <c r="A1655" s="15" t="s">
        <v>49</v>
      </c>
      <c r="B1655" s="16" t="s">
        <v>19</v>
      </c>
      <c r="C1655" s="15" t="str">
        <f>"20190115516"</f>
        <v>20190115516</v>
      </c>
      <c r="D1655" s="17">
        <v>63</v>
      </c>
    </row>
    <row r="1656" spans="1:4" ht="21.75" customHeight="1">
      <c r="A1656" s="15" t="s">
        <v>49</v>
      </c>
      <c r="B1656" s="16" t="s">
        <v>19</v>
      </c>
      <c r="C1656" s="15" t="str">
        <f>"20190115517"</f>
        <v>20190115517</v>
      </c>
      <c r="D1656" s="17" t="s">
        <v>12</v>
      </c>
    </row>
    <row r="1657" spans="1:4" ht="21.75" customHeight="1">
      <c r="A1657" s="15" t="s">
        <v>49</v>
      </c>
      <c r="B1657" s="16" t="s">
        <v>19</v>
      </c>
      <c r="C1657" s="15" t="str">
        <f>"20190115518"</f>
        <v>20190115518</v>
      </c>
      <c r="D1657" s="17">
        <v>56.5</v>
      </c>
    </row>
    <row r="1658" spans="1:4" ht="21.75" customHeight="1">
      <c r="A1658" s="15" t="s">
        <v>49</v>
      </c>
      <c r="B1658" s="16" t="s">
        <v>19</v>
      </c>
      <c r="C1658" s="15" t="str">
        <f>"20190115519"</f>
        <v>20190115519</v>
      </c>
      <c r="D1658" s="17">
        <v>61</v>
      </c>
    </row>
    <row r="1659" spans="1:4" ht="21.75" customHeight="1">
      <c r="A1659" s="15" t="s">
        <v>49</v>
      </c>
      <c r="B1659" s="16" t="s">
        <v>19</v>
      </c>
      <c r="C1659" s="15" t="str">
        <f>"20190115520"</f>
        <v>20190115520</v>
      </c>
      <c r="D1659" s="17">
        <v>49</v>
      </c>
    </row>
    <row r="1660" spans="1:4" ht="21.75" customHeight="1">
      <c r="A1660" s="15" t="s">
        <v>49</v>
      </c>
      <c r="B1660" s="16" t="s">
        <v>19</v>
      </c>
      <c r="C1660" s="15" t="str">
        <f>"20190115521"</f>
        <v>20190115521</v>
      </c>
      <c r="D1660" s="17">
        <v>64</v>
      </c>
    </row>
    <row r="1661" spans="1:4" ht="21.75" customHeight="1">
      <c r="A1661" s="15" t="s">
        <v>49</v>
      </c>
      <c r="B1661" s="16" t="s">
        <v>19</v>
      </c>
      <c r="C1661" s="15" t="str">
        <f>"20190115522"</f>
        <v>20190115522</v>
      </c>
      <c r="D1661" s="17">
        <v>64.5</v>
      </c>
    </row>
    <row r="1662" spans="1:5" ht="21.75" customHeight="1">
      <c r="A1662" s="15" t="s">
        <v>49</v>
      </c>
      <c r="B1662" s="16" t="s">
        <v>19</v>
      </c>
      <c r="C1662" s="15" t="str">
        <f>"20190115523"</f>
        <v>20190115523</v>
      </c>
      <c r="D1662" s="17">
        <v>67.5</v>
      </c>
      <c r="E1662" s="18" t="s">
        <v>9</v>
      </c>
    </row>
    <row r="1663" spans="1:4" ht="21.75" customHeight="1">
      <c r="A1663" s="15" t="s">
        <v>49</v>
      </c>
      <c r="B1663" s="16" t="s">
        <v>19</v>
      </c>
      <c r="C1663" s="15" t="str">
        <f>"20190115524"</f>
        <v>20190115524</v>
      </c>
      <c r="D1663" s="17" t="s">
        <v>12</v>
      </c>
    </row>
    <row r="1664" spans="1:4" ht="21.75" customHeight="1">
      <c r="A1664" s="15" t="s">
        <v>49</v>
      </c>
      <c r="B1664" s="16" t="s">
        <v>19</v>
      </c>
      <c r="C1664" s="15" t="str">
        <f>"20190115525"</f>
        <v>20190115525</v>
      </c>
      <c r="D1664" s="17">
        <v>59</v>
      </c>
    </row>
    <row r="1665" spans="1:5" ht="21.75" customHeight="1">
      <c r="A1665" s="15" t="s">
        <v>49</v>
      </c>
      <c r="B1665" s="16" t="s">
        <v>19</v>
      </c>
      <c r="C1665" s="15" t="str">
        <f>"20190115526"</f>
        <v>20190115526</v>
      </c>
      <c r="D1665" s="17">
        <v>64</v>
      </c>
      <c r="E1665" s="19"/>
    </row>
    <row r="1666" spans="1:5" ht="21.75" customHeight="1">
      <c r="A1666" s="15" t="s">
        <v>49</v>
      </c>
      <c r="B1666" s="16" t="s">
        <v>19</v>
      </c>
      <c r="C1666" s="15" t="str">
        <f>"20190115527"</f>
        <v>20190115527</v>
      </c>
      <c r="D1666" s="17" t="s">
        <v>12</v>
      </c>
      <c r="E1666" s="19"/>
    </row>
    <row r="1667" spans="1:5" ht="21.75" customHeight="1">
      <c r="A1667" s="15" t="s">
        <v>49</v>
      </c>
      <c r="B1667" s="16" t="s">
        <v>19</v>
      </c>
      <c r="C1667" s="15" t="str">
        <f>"20190115528"</f>
        <v>20190115528</v>
      </c>
      <c r="D1667" s="17" t="s">
        <v>12</v>
      </c>
      <c r="E1667" s="19"/>
    </row>
    <row r="1668" spans="1:5" ht="21.75" customHeight="1">
      <c r="A1668" s="15" t="s">
        <v>49</v>
      </c>
      <c r="B1668" s="16" t="s">
        <v>19</v>
      </c>
      <c r="C1668" s="15" t="str">
        <f>"20190115529"</f>
        <v>20190115529</v>
      </c>
      <c r="D1668" s="17">
        <v>56.5</v>
      </c>
      <c r="E1668" s="19"/>
    </row>
    <row r="1669" spans="1:4" ht="21.75" customHeight="1">
      <c r="A1669" s="15" t="s">
        <v>49</v>
      </c>
      <c r="B1669" s="16" t="s">
        <v>19</v>
      </c>
      <c r="C1669" s="15" t="str">
        <f>"20190115530"</f>
        <v>20190115530</v>
      </c>
      <c r="D1669" s="17">
        <v>58.5</v>
      </c>
    </row>
    <row r="1670" spans="1:4" ht="21.75" customHeight="1">
      <c r="A1670" s="15" t="s">
        <v>49</v>
      </c>
      <c r="B1670" s="16" t="s">
        <v>19</v>
      </c>
      <c r="C1670" s="15" t="str">
        <f>"20190115601"</f>
        <v>20190115601</v>
      </c>
      <c r="D1670" s="17">
        <v>53.5</v>
      </c>
    </row>
    <row r="1671" spans="1:4" ht="21.75" customHeight="1">
      <c r="A1671" s="15" t="s">
        <v>49</v>
      </c>
      <c r="B1671" s="16" t="s">
        <v>19</v>
      </c>
      <c r="C1671" s="15" t="str">
        <f>"20190115602"</f>
        <v>20190115602</v>
      </c>
      <c r="D1671" s="17">
        <v>59.5</v>
      </c>
    </row>
    <row r="1672" spans="1:4" ht="21.75" customHeight="1">
      <c r="A1672" s="15" t="s">
        <v>49</v>
      </c>
      <c r="B1672" s="16" t="s">
        <v>19</v>
      </c>
      <c r="C1672" s="15" t="str">
        <f>"20190115603"</f>
        <v>20190115603</v>
      </c>
      <c r="D1672" s="17" t="s">
        <v>12</v>
      </c>
    </row>
    <row r="1673" spans="1:4" ht="21.75" customHeight="1">
      <c r="A1673" s="15" t="s">
        <v>49</v>
      </c>
      <c r="B1673" s="16" t="s">
        <v>19</v>
      </c>
      <c r="C1673" s="15" t="str">
        <f>"20190115604"</f>
        <v>20190115604</v>
      </c>
      <c r="D1673" s="17">
        <v>64.5</v>
      </c>
    </row>
    <row r="1674" spans="1:4" ht="21.75" customHeight="1">
      <c r="A1674" s="15" t="s">
        <v>49</v>
      </c>
      <c r="B1674" s="16" t="s">
        <v>19</v>
      </c>
      <c r="C1674" s="15" t="str">
        <f>"20190115605"</f>
        <v>20190115605</v>
      </c>
      <c r="D1674" s="17" t="s">
        <v>12</v>
      </c>
    </row>
    <row r="1675" spans="1:4" ht="21.75" customHeight="1">
      <c r="A1675" s="15" t="s">
        <v>49</v>
      </c>
      <c r="B1675" s="16" t="s">
        <v>19</v>
      </c>
      <c r="C1675" s="15" t="str">
        <f>"20190115606"</f>
        <v>20190115606</v>
      </c>
      <c r="D1675" s="17">
        <v>53.5</v>
      </c>
    </row>
    <row r="1676" spans="1:4" ht="21.75" customHeight="1">
      <c r="A1676" s="15" t="s">
        <v>49</v>
      </c>
      <c r="B1676" s="16" t="s">
        <v>19</v>
      </c>
      <c r="C1676" s="15" t="str">
        <f>"20190115607"</f>
        <v>20190115607</v>
      </c>
      <c r="D1676" s="17">
        <v>56</v>
      </c>
    </row>
    <row r="1677" spans="1:4" ht="21.75" customHeight="1">
      <c r="A1677" s="15" t="s">
        <v>49</v>
      </c>
      <c r="B1677" s="16" t="s">
        <v>19</v>
      </c>
      <c r="C1677" s="15" t="str">
        <f>"20190115608"</f>
        <v>20190115608</v>
      </c>
      <c r="D1677" s="17">
        <v>63.5</v>
      </c>
    </row>
    <row r="1678" spans="1:4" ht="21.75" customHeight="1">
      <c r="A1678" s="15" t="s">
        <v>49</v>
      </c>
      <c r="B1678" s="16" t="s">
        <v>19</v>
      </c>
      <c r="C1678" s="15" t="str">
        <f>"20190115609"</f>
        <v>20190115609</v>
      </c>
      <c r="D1678" s="17">
        <v>55.5</v>
      </c>
    </row>
    <row r="1679" spans="1:4" ht="21.75" customHeight="1">
      <c r="A1679" s="15" t="s">
        <v>49</v>
      </c>
      <c r="B1679" s="16" t="s">
        <v>19</v>
      </c>
      <c r="C1679" s="15" t="str">
        <f>"20190115610"</f>
        <v>20190115610</v>
      </c>
      <c r="D1679" s="17" t="s">
        <v>12</v>
      </c>
    </row>
    <row r="1680" spans="1:4" ht="21.75" customHeight="1">
      <c r="A1680" s="15" t="s">
        <v>49</v>
      </c>
      <c r="B1680" s="16" t="s">
        <v>19</v>
      </c>
      <c r="C1680" s="15" t="str">
        <f>"20190115611"</f>
        <v>20190115611</v>
      </c>
      <c r="D1680" s="17">
        <v>57</v>
      </c>
    </row>
    <row r="1681" spans="1:4" ht="21.75" customHeight="1">
      <c r="A1681" s="15" t="s">
        <v>49</v>
      </c>
      <c r="B1681" s="16" t="s">
        <v>19</v>
      </c>
      <c r="C1681" s="15" t="str">
        <f>"20190115612"</f>
        <v>20190115612</v>
      </c>
      <c r="D1681" s="17">
        <v>58</v>
      </c>
    </row>
    <row r="1682" spans="1:4" ht="21.75" customHeight="1">
      <c r="A1682" s="15" t="s">
        <v>49</v>
      </c>
      <c r="B1682" s="16" t="s">
        <v>19</v>
      </c>
      <c r="C1682" s="15" t="str">
        <f>"20190115613"</f>
        <v>20190115613</v>
      </c>
      <c r="D1682" s="17">
        <v>62</v>
      </c>
    </row>
    <row r="1683" spans="1:4" ht="21.75" customHeight="1">
      <c r="A1683" s="15" t="s">
        <v>49</v>
      </c>
      <c r="B1683" s="16" t="s">
        <v>19</v>
      </c>
      <c r="C1683" s="15" t="str">
        <f>"20190115614"</f>
        <v>20190115614</v>
      </c>
      <c r="D1683" s="17">
        <v>58.5</v>
      </c>
    </row>
    <row r="1684" spans="1:4" ht="21.75" customHeight="1">
      <c r="A1684" s="15" t="s">
        <v>49</v>
      </c>
      <c r="B1684" s="16" t="s">
        <v>19</v>
      </c>
      <c r="C1684" s="15" t="str">
        <f>"20190115615"</f>
        <v>20190115615</v>
      </c>
      <c r="D1684" s="17" t="s">
        <v>12</v>
      </c>
    </row>
    <row r="1685" spans="1:4" ht="21.75" customHeight="1">
      <c r="A1685" s="15" t="s">
        <v>49</v>
      </c>
      <c r="B1685" s="16" t="s">
        <v>19</v>
      </c>
      <c r="C1685" s="15" t="str">
        <f>"20190115616"</f>
        <v>20190115616</v>
      </c>
      <c r="D1685" s="17">
        <v>64.5</v>
      </c>
    </row>
    <row r="1686" spans="1:4" ht="21.75" customHeight="1">
      <c r="A1686" s="15" t="s">
        <v>49</v>
      </c>
      <c r="B1686" s="16" t="s">
        <v>19</v>
      </c>
      <c r="C1686" s="15" t="str">
        <f>"20190115617"</f>
        <v>20190115617</v>
      </c>
      <c r="D1686" s="17" t="s">
        <v>12</v>
      </c>
    </row>
    <row r="1687" spans="1:4" ht="21.75" customHeight="1">
      <c r="A1687" s="15" t="s">
        <v>49</v>
      </c>
      <c r="B1687" s="16" t="s">
        <v>19</v>
      </c>
      <c r="C1687" s="15" t="str">
        <f>"20190115618"</f>
        <v>20190115618</v>
      </c>
      <c r="D1687" s="17">
        <v>52.5</v>
      </c>
    </row>
    <row r="1688" spans="1:4" ht="21.75" customHeight="1">
      <c r="A1688" s="15" t="s">
        <v>49</v>
      </c>
      <c r="B1688" s="16" t="s">
        <v>19</v>
      </c>
      <c r="C1688" s="15" t="str">
        <f>"20190115619"</f>
        <v>20190115619</v>
      </c>
      <c r="D1688" s="17">
        <v>59</v>
      </c>
    </row>
    <row r="1689" spans="1:4" ht="21.75" customHeight="1">
      <c r="A1689" s="15" t="s">
        <v>49</v>
      </c>
      <c r="B1689" s="16" t="s">
        <v>19</v>
      </c>
      <c r="C1689" s="15" t="str">
        <f>"20190115620"</f>
        <v>20190115620</v>
      </c>
      <c r="D1689" s="17">
        <v>54.5</v>
      </c>
    </row>
    <row r="1690" spans="1:4" ht="21.75" customHeight="1">
      <c r="A1690" s="15" t="s">
        <v>49</v>
      </c>
      <c r="B1690" s="16" t="s">
        <v>19</v>
      </c>
      <c r="C1690" s="15" t="str">
        <f>"20190115621"</f>
        <v>20190115621</v>
      </c>
      <c r="D1690" s="17">
        <v>64</v>
      </c>
    </row>
    <row r="1691" spans="1:4" ht="21.75" customHeight="1">
      <c r="A1691" s="15" t="s">
        <v>49</v>
      </c>
      <c r="B1691" s="16" t="s">
        <v>19</v>
      </c>
      <c r="C1691" s="15" t="str">
        <f>"20190115622"</f>
        <v>20190115622</v>
      </c>
      <c r="D1691" s="17">
        <v>61.5</v>
      </c>
    </row>
    <row r="1692" spans="1:4" ht="21.75" customHeight="1">
      <c r="A1692" s="15" t="s">
        <v>49</v>
      </c>
      <c r="B1692" s="16" t="s">
        <v>19</v>
      </c>
      <c r="C1692" s="15" t="str">
        <f>"20190115623"</f>
        <v>20190115623</v>
      </c>
      <c r="D1692" s="17" t="s">
        <v>12</v>
      </c>
    </row>
    <row r="1693" spans="1:4" ht="21.75" customHeight="1">
      <c r="A1693" s="15" t="s">
        <v>49</v>
      </c>
      <c r="B1693" s="16" t="s">
        <v>19</v>
      </c>
      <c r="C1693" s="15" t="str">
        <f>"20190115624"</f>
        <v>20190115624</v>
      </c>
      <c r="D1693" s="17">
        <v>56</v>
      </c>
    </row>
    <row r="1694" spans="1:4" ht="21.75" customHeight="1">
      <c r="A1694" s="15" t="s">
        <v>49</v>
      </c>
      <c r="B1694" s="16" t="s">
        <v>19</v>
      </c>
      <c r="C1694" s="15" t="str">
        <f>"20190115625"</f>
        <v>20190115625</v>
      </c>
      <c r="D1694" s="17">
        <v>59.5</v>
      </c>
    </row>
    <row r="1695" spans="1:4" ht="21.75" customHeight="1">
      <c r="A1695" s="15" t="s">
        <v>49</v>
      </c>
      <c r="B1695" s="16" t="s">
        <v>19</v>
      </c>
      <c r="C1695" s="15" t="str">
        <f>"20190115626"</f>
        <v>20190115626</v>
      </c>
      <c r="D1695" s="17" t="s">
        <v>12</v>
      </c>
    </row>
    <row r="1696" spans="1:4" ht="21.75" customHeight="1">
      <c r="A1696" s="15" t="s">
        <v>49</v>
      </c>
      <c r="B1696" s="16" t="s">
        <v>19</v>
      </c>
      <c r="C1696" s="15" t="str">
        <f>"20190115627"</f>
        <v>20190115627</v>
      </c>
      <c r="D1696" s="17">
        <v>66</v>
      </c>
    </row>
    <row r="1697" spans="1:4" ht="21.75" customHeight="1">
      <c r="A1697" s="15" t="s">
        <v>49</v>
      </c>
      <c r="B1697" s="16" t="s">
        <v>19</v>
      </c>
      <c r="C1697" s="15" t="str">
        <f>"20190115628"</f>
        <v>20190115628</v>
      </c>
      <c r="D1697" s="17">
        <v>55</v>
      </c>
    </row>
    <row r="1698" spans="1:4" ht="21.75" customHeight="1">
      <c r="A1698" s="15" t="s">
        <v>49</v>
      </c>
      <c r="B1698" s="16" t="s">
        <v>19</v>
      </c>
      <c r="C1698" s="15" t="str">
        <f>"20190115629"</f>
        <v>20190115629</v>
      </c>
      <c r="D1698" s="17">
        <v>56.5</v>
      </c>
    </row>
    <row r="1699" spans="1:4" ht="21.75" customHeight="1">
      <c r="A1699" s="15" t="s">
        <v>49</v>
      </c>
      <c r="B1699" s="16" t="s">
        <v>19</v>
      </c>
      <c r="C1699" s="15" t="str">
        <f>"20190115630"</f>
        <v>20190115630</v>
      </c>
      <c r="D1699" s="17">
        <v>64.5</v>
      </c>
    </row>
    <row r="1700" spans="1:4" ht="21.75" customHeight="1">
      <c r="A1700" s="15" t="s">
        <v>49</v>
      </c>
      <c r="B1700" s="16" t="s">
        <v>19</v>
      </c>
      <c r="C1700" s="15" t="str">
        <f>"20190115701"</f>
        <v>20190115701</v>
      </c>
      <c r="D1700" s="17" t="s">
        <v>12</v>
      </c>
    </row>
    <row r="1701" spans="1:4" ht="21.75" customHeight="1">
      <c r="A1701" s="15" t="s">
        <v>49</v>
      </c>
      <c r="B1701" s="16" t="s">
        <v>19</v>
      </c>
      <c r="C1701" s="15" t="str">
        <f>"20190115702"</f>
        <v>20190115702</v>
      </c>
      <c r="D1701" s="17">
        <v>58.5</v>
      </c>
    </row>
    <row r="1702" spans="1:4" ht="21.75" customHeight="1">
      <c r="A1702" s="15" t="s">
        <v>49</v>
      </c>
      <c r="B1702" s="16" t="s">
        <v>19</v>
      </c>
      <c r="C1702" s="15" t="str">
        <f>"20190115703"</f>
        <v>20190115703</v>
      </c>
      <c r="D1702" s="17">
        <v>50.5</v>
      </c>
    </row>
    <row r="1703" spans="1:4" ht="21.75" customHeight="1">
      <c r="A1703" s="15" t="s">
        <v>49</v>
      </c>
      <c r="B1703" s="16" t="s">
        <v>19</v>
      </c>
      <c r="C1703" s="15" t="str">
        <f>"20190115704"</f>
        <v>20190115704</v>
      </c>
      <c r="D1703" s="17">
        <v>60</v>
      </c>
    </row>
    <row r="1704" spans="1:4" ht="21.75" customHeight="1">
      <c r="A1704" s="15" t="s">
        <v>49</v>
      </c>
      <c r="B1704" s="16" t="s">
        <v>19</v>
      </c>
      <c r="C1704" s="15" t="str">
        <f>"20190115705"</f>
        <v>20190115705</v>
      </c>
      <c r="D1704" s="17">
        <v>59</v>
      </c>
    </row>
    <row r="1705" spans="1:4" ht="21.75" customHeight="1">
      <c r="A1705" s="15" t="s">
        <v>49</v>
      </c>
      <c r="B1705" s="16" t="s">
        <v>19</v>
      </c>
      <c r="C1705" s="15" t="str">
        <f>"20190115706"</f>
        <v>20190115706</v>
      </c>
      <c r="D1705" s="17">
        <v>57</v>
      </c>
    </row>
    <row r="1706" spans="1:4" ht="21.75" customHeight="1">
      <c r="A1706" s="15" t="s">
        <v>49</v>
      </c>
      <c r="B1706" s="16" t="s">
        <v>19</v>
      </c>
      <c r="C1706" s="15" t="str">
        <f>"20190115707"</f>
        <v>20190115707</v>
      </c>
      <c r="D1706" s="17">
        <v>57.5</v>
      </c>
    </row>
    <row r="1707" spans="1:4" ht="21.75" customHeight="1">
      <c r="A1707" s="15" t="s">
        <v>49</v>
      </c>
      <c r="B1707" s="16" t="s">
        <v>19</v>
      </c>
      <c r="C1707" s="15" t="str">
        <f>"20190115708"</f>
        <v>20190115708</v>
      </c>
      <c r="D1707" s="17">
        <v>66</v>
      </c>
    </row>
    <row r="1708" spans="1:4" ht="21.75" customHeight="1">
      <c r="A1708" s="15" t="s">
        <v>49</v>
      </c>
      <c r="B1708" s="16" t="s">
        <v>19</v>
      </c>
      <c r="C1708" s="15" t="str">
        <f>"20190115709"</f>
        <v>20190115709</v>
      </c>
      <c r="D1708" s="17" t="s">
        <v>12</v>
      </c>
    </row>
    <row r="1709" spans="1:4" ht="21.75" customHeight="1">
      <c r="A1709" s="15" t="s">
        <v>49</v>
      </c>
      <c r="B1709" s="16" t="s">
        <v>19</v>
      </c>
      <c r="C1709" s="15" t="str">
        <f>"20190115710"</f>
        <v>20190115710</v>
      </c>
      <c r="D1709" s="17">
        <v>53.5</v>
      </c>
    </row>
    <row r="1710" spans="1:4" ht="21.75" customHeight="1">
      <c r="A1710" s="15" t="s">
        <v>49</v>
      </c>
      <c r="B1710" s="16" t="s">
        <v>19</v>
      </c>
      <c r="C1710" s="15" t="str">
        <f>"20190115711"</f>
        <v>20190115711</v>
      </c>
      <c r="D1710" s="17">
        <v>61.5</v>
      </c>
    </row>
    <row r="1711" spans="1:4" ht="21.75" customHeight="1">
      <c r="A1711" s="15" t="s">
        <v>49</v>
      </c>
      <c r="B1711" s="16" t="s">
        <v>19</v>
      </c>
      <c r="C1711" s="15" t="str">
        <f>"20190115712"</f>
        <v>20190115712</v>
      </c>
      <c r="D1711" s="17">
        <v>48</v>
      </c>
    </row>
    <row r="1712" spans="1:4" ht="21.75" customHeight="1">
      <c r="A1712" s="15" t="s">
        <v>49</v>
      </c>
      <c r="B1712" s="16" t="s">
        <v>19</v>
      </c>
      <c r="C1712" s="15" t="str">
        <f>"20190115713"</f>
        <v>20190115713</v>
      </c>
      <c r="D1712" s="17" t="s">
        <v>12</v>
      </c>
    </row>
    <row r="1713" spans="1:4" ht="21.75" customHeight="1">
      <c r="A1713" s="15" t="s">
        <v>49</v>
      </c>
      <c r="B1713" s="16" t="s">
        <v>19</v>
      </c>
      <c r="C1713" s="15" t="str">
        <f>"20190115714"</f>
        <v>20190115714</v>
      </c>
      <c r="D1713" s="17">
        <v>62</v>
      </c>
    </row>
    <row r="1714" spans="1:4" ht="21.75" customHeight="1">
      <c r="A1714" s="15" t="s">
        <v>49</v>
      </c>
      <c r="B1714" s="16" t="s">
        <v>19</v>
      </c>
      <c r="C1714" s="15" t="str">
        <f>"20190115715"</f>
        <v>20190115715</v>
      </c>
      <c r="D1714" s="17" t="s">
        <v>12</v>
      </c>
    </row>
    <row r="1715" spans="1:4" ht="21.75" customHeight="1">
      <c r="A1715" s="15" t="s">
        <v>49</v>
      </c>
      <c r="B1715" s="16" t="s">
        <v>19</v>
      </c>
      <c r="C1715" s="15" t="str">
        <f>"20190115716"</f>
        <v>20190115716</v>
      </c>
      <c r="D1715" s="17" t="s">
        <v>12</v>
      </c>
    </row>
    <row r="1716" spans="1:4" ht="21.75" customHeight="1">
      <c r="A1716" s="15" t="s">
        <v>49</v>
      </c>
      <c r="B1716" s="16" t="s">
        <v>19</v>
      </c>
      <c r="C1716" s="15" t="str">
        <f>"20190115717"</f>
        <v>20190115717</v>
      </c>
      <c r="D1716" s="17">
        <v>44</v>
      </c>
    </row>
    <row r="1717" spans="1:4" ht="21.75" customHeight="1">
      <c r="A1717" s="15" t="s">
        <v>49</v>
      </c>
      <c r="B1717" s="16" t="s">
        <v>19</v>
      </c>
      <c r="C1717" s="15" t="str">
        <f>"20190115718"</f>
        <v>20190115718</v>
      </c>
      <c r="D1717" s="17">
        <v>55</v>
      </c>
    </row>
    <row r="1718" spans="1:4" ht="21.75" customHeight="1">
      <c r="A1718" s="15" t="s">
        <v>49</v>
      </c>
      <c r="B1718" s="16" t="s">
        <v>19</v>
      </c>
      <c r="C1718" s="15" t="str">
        <f>"20190115719"</f>
        <v>20190115719</v>
      </c>
      <c r="D1718" s="17">
        <v>63</v>
      </c>
    </row>
    <row r="1719" spans="1:4" ht="21.75" customHeight="1">
      <c r="A1719" s="15" t="s">
        <v>49</v>
      </c>
      <c r="B1719" s="16" t="s">
        <v>19</v>
      </c>
      <c r="C1719" s="15" t="str">
        <f>"20190115720"</f>
        <v>20190115720</v>
      </c>
      <c r="D1719" s="17">
        <v>61.5</v>
      </c>
    </row>
    <row r="1720" spans="1:4" ht="21.75" customHeight="1">
      <c r="A1720" s="20" t="s">
        <v>49</v>
      </c>
      <c r="B1720" s="21" t="s">
        <v>50</v>
      </c>
      <c r="C1720" s="15" t="str">
        <f>"20190115721"</f>
        <v>20190115721</v>
      </c>
      <c r="D1720" s="17">
        <v>51.5</v>
      </c>
    </row>
    <row r="1721" spans="1:5" ht="21.75" customHeight="1">
      <c r="A1721" s="20" t="s">
        <v>49</v>
      </c>
      <c r="B1721" s="21" t="s">
        <v>50</v>
      </c>
      <c r="C1721" s="15" t="str">
        <f>"20190115722"</f>
        <v>20190115722</v>
      </c>
      <c r="D1721" s="17">
        <v>75.5</v>
      </c>
      <c r="E1721" s="18" t="s">
        <v>9</v>
      </c>
    </row>
    <row r="1722" spans="1:4" ht="21.75" customHeight="1">
      <c r="A1722" s="20" t="s">
        <v>49</v>
      </c>
      <c r="B1722" s="21" t="s">
        <v>50</v>
      </c>
      <c r="C1722" s="15" t="str">
        <f>"20190115723"</f>
        <v>20190115723</v>
      </c>
      <c r="D1722" s="17" t="s">
        <v>12</v>
      </c>
    </row>
    <row r="1723" spans="1:5" ht="21.75" customHeight="1">
      <c r="A1723" s="20" t="s">
        <v>49</v>
      </c>
      <c r="B1723" s="21" t="s">
        <v>50</v>
      </c>
      <c r="C1723" s="15" t="str">
        <f>"20190115724"</f>
        <v>20190115724</v>
      </c>
      <c r="D1723" s="17">
        <v>65.5</v>
      </c>
      <c r="E1723" s="18" t="s">
        <v>9</v>
      </c>
    </row>
    <row r="1724" spans="1:4" ht="21.75" customHeight="1">
      <c r="A1724" s="20" t="s">
        <v>49</v>
      </c>
      <c r="B1724" s="21" t="s">
        <v>50</v>
      </c>
      <c r="C1724" s="15" t="str">
        <f>"20190115725"</f>
        <v>20190115725</v>
      </c>
      <c r="D1724" s="17">
        <v>57</v>
      </c>
    </row>
    <row r="1725" spans="1:4" ht="21.75" customHeight="1">
      <c r="A1725" s="20" t="s">
        <v>49</v>
      </c>
      <c r="B1725" s="21" t="s">
        <v>50</v>
      </c>
      <c r="C1725" s="15" t="str">
        <f>"20190115726"</f>
        <v>20190115726</v>
      </c>
      <c r="D1725" s="17">
        <v>56.5</v>
      </c>
    </row>
    <row r="1726" spans="1:4" ht="21.75" customHeight="1">
      <c r="A1726" s="20" t="s">
        <v>49</v>
      </c>
      <c r="B1726" s="21" t="s">
        <v>50</v>
      </c>
      <c r="C1726" s="15" t="str">
        <f>"20190115727"</f>
        <v>20190115727</v>
      </c>
      <c r="D1726" s="17">
        <v>62.5</v>
      </c>
    </row>
    <row r="1727" spans="1:4" ht="21.75" customHeight="1">
      <c r="A1727" s="20" t="s">
        <v>49</v>
      </c>
      <c r="B1727" s="21" t="s">
        <v>50</v>
      </c>
      <c r="C1727" s="15" t="str">
        <f>"20190115728"</f>
        <v>20190115728</v>
      </c>
      <c r="D1727" s="17">
        <v>58</v>
      </c>
    </row>
    <row r="1728" spans="1:4" ht="21.75" customHeight="1">
      <c r="A1728" s="20" t="s">
        <v>49</v>
      </c>
      <c r="B1728" s="21" t="s">
        <v>50</v>
      </c>
      <c r="C1728" s="15" t="str">
        <f>"20190115729"</f>
        <v>20190115729</v>
      </c>
      <c r="D1728" s="17">
        <v>58</v>
      </c>
    </row>
    <row r="1729" spans="1:4" ht="21.75" customHeight="1">
      <c r="A1729" s="20" t="s">
        <v>49</v>
      </c>
      <c r="B1729" s="21" t="s">
        <v>50</v>
      </c>
      <c r="C1729" s="15" t="str">
        <f>"20190115730"</f>
        <v>20190115730</v>
      </c>
      <c r="D1729" s="17">
        <v>64.5</v>
      </c>
    </row>
    <row r="1730" spans="1:4" ht="21.75" customHeight="1">
      <c r="A1730" s="20" t="s">
        <v>49</v>
      </c>
      <c r="B1730" s="21" t="s">
        <v>50</v>
      </c>
      <c r="C1730" s="15" t="str">
        <f>"20190115801"</f>
        <v>20190115801</v>
      </c>
      <c r="D1730" s="17">
        <v>52.5</v>
      </c>
    </row>
    <row r="1731" spans="1:4" ht="21.75" customHeight="1">
      <c r="A1731" s="20" t="s">
        <v>49</v>
      </c>
      <c r="B1731" s="21" t="s">
        <v>50</v>
      </c>
      <c r="C1731" s="15" t="str">
        <f>"20190115802"</f>
        <v>20190115802</v>
      </c>
      <c r="D1731" s="17">
        <v>54.5</v>
      </c>
    </row>
    <row r="1732" spans="1:4" ht="21.75" customHeight="1">
      <c r="A1732" s="20" t="s">
        <v>49</v>
      </c>
      <c r="B1732" s="21" t="s">
        <v>50</v>
      </c>
      <c r="C1732" s="15" t="str">
        <f>"20190115803"</f>
        <v>20190115803</v>
      </c>
      <c r="D1732" s="17" t="s">
        <v>12</v>
      </c>
    </row>
    <row r="1733" spans="1:4" ht="21.75" customHeight="1">
      <c r="A1733" s="20" t="s">
        <v>49</v>
      </c>
      <c r="B1733" s="21" t="s">
        <v>50</v>
      </c>
      <c r="C1733" s="15" t="str">
        <f>"20190115804"</f>
        <v>20190115804</v>
      </c>
      <c r="D1733" s="17">
        <v>60.5</v>
      </c>
    </row>
    <row r="1734" spans="1:4" ht="21.75" customHeight="1">
      <c r="A1734" s="20" t="s">
        <v>49</v>
      </c>
      <c r="B1734" s="21" t="s">
        <v>50</v>
      </c>
      <c r="C1734" s="15" t="str">
        <f>"20190115805"</f>
        <v>20190115805</v>
      </c>
      <c r="D1734" s="17">
        <v>57.5</v>
      </c>
    </row>
    <row r="1735" spans="1:4" ht="21.75" customHeight="1">
      <c r="A1735" s="20" t="s">
        <v>49</v>
      </c>
      <c r="B1735" s="21" t="s">
        <v>50</v>
      </c>
      <c r="C1735" s="15" t="str">
        <f>"20190115806"</f>
        <v>20190115806</v>
      </c>
      <c r="D1735" s="17">
        <v>63</v>
      </c>
    </row>
    <row r="1736" spans="1:4" ht="21.75" customHeight="1">
      <c r="A1736" s="20" t="s">
        <v>49</v>
      </c>
      <c r="B1736" s="21" t="s">
        <v>50</v>
      </c>
      <c r="C1736" s="15" t="str">
        <f>"20190115807"</f>
        <v>20190115807</v>
      </c>
      <c r="D1736" s="17">
        <v>64.5</v>
      </c>
    </row>
    <row r="1737" spans="1:4" ht="21.75" customHeight="1">
      <c r="A1737" s="20" t="s">
        <v>49</v>
      </c>
      <c r="B1737" s="21" t="s">
        <v>50</v>
      </c>
      <c r="C1737" s="15" t="str">
        <f>"20190115808"</f>
        <v>20190115808</v>
      </c>
      <c r="D1737" s="17">
        <v>57.5</v>
      </c>
    </row>
    <row r="1738" spans="1:5" ht="21.75" customHeight="1">
      <c r="A1738" s="20" t="s">
        <v>49</v>
      </c>
      <c r="B1738" s="21" t="s">
        <v>50</v>
      </c>
      <c r="C1738" s="15" t="str">
        <f>"20190115809"</f>
        <v>20190115809</v>
      </c>
      <c r="D1738" s="17">
        <v>68.5</v>
      </c>
      <c r="E1738" s="18" t="s">
        <v>9</v>
      </c>
    </row>
    <row r="1739" spans="1:4" ht="21.75" customHeight="1">
      <c r="A1739" s="20" t="s">
        <v>49</v>
      </c>
      <c r="B1739" s="21" t="s">
        <v>50</v>
      </c>
      <c r="C1739" s="15" t="str">
        <f>"20190115810"</f>
        <v>20190115810</v>
      </c>
      <c r="D1739" s="17">
        <v>63</v>
      </c>
    </row>
    <row r="1740" spans="1:4" ht="21.75" customHeight="1">
      <c r="A1740" s="20" t="s">
        <v>49</v>
      </c>
      <c r="B1740" s="21" t="s">
        <v>50</v>
      </c>
      <c r="C1740" s="15" t="str">
        <f>"20190115811"</f>
        <v>20190115811</v>
      </c>
      <c r="D1740" s="17" t="s">
        <v>12</v>
      </c>
    </row>
    <row r="1741" spans="1:4" ht="21.75" customHeight="1">
      <c r="A1741" s="20" t="s">
        <v>49</v>
      </c>
      <c r="B1741" s="21" t="s">
        <v>50</v>
      </c>
      <c r="C1741" s="15" t="str">
        <f>"20190115812"</f>
        <v>20190115812</v>
      </c>
      <c r="D1741" s="17">
        <v>57.5</v>
      </c>
    </row>
    <row r="1742" spans="1:4" ht="21.75" customHeight="1">
      <c r="A1742" s="20" t="s">
        <v>49</v>
      </c>
      <c r="B1742" s="21" t="s">
        <v>50</v>
      </c>
      <c r="C1742" s="15" t="str">
        <f>"20190115813"</f>
        <v>20190115813</v>
      </c>
      <c r="D1742" s="17" t="s">
        <v>12</v>
      </c>
    </row>
    <row r="1743" spans="1:4" ht="21.75" customHeight="1">
      <c r="A1743" s="20" t="s">
        <v>49</v>
      </c>
      <c r="B1743" s="21" t="s">
        <v>50</v>
      </c>
      <c r="C1743" s="15" t="str">
        <f>"20190115814"</f>
        <v>20190115814</v>
      </c>
      <c r="D1743" s="17">
        <v>56.5</v>
      </c>
    </row>
    <row r="1744" spans="1:4" ht="21.75" customHeight="1">
      <c r="A1744" s="20" t="s">
        <v>49</v>
      </c>
      <c r="B1744" s="21" t="s">
        <v>50</v>
      </c>
      <c r="C1744" s="15" t="str">
        <f>"20190115815"</f>
        <v>20190115815</v>
      </c>
      <c r="D1744" s="17" t="s">
        <v>12</v>
      </c>
    </row>
    <row r="1745" spans="1:4" ht="21.75" customHeight="1">
      <c r="A1745" s="20" t="s">
        <v>49</v>
      </c>
      <c r="B1745" s="21" t="s">
        <v>50</v>
      </c>
      <c r="C1745" s="15" t="str">
        <f>"20190115816"</f>
        <v>20190115816</v>
      </c>
      <c r="D1745" s="17">
        <v>57</v>
      </c>
    </row>
    <row r="1746" spans="1:4" ht="21.75" customHeight="1">
      <c r="A1746" s="20" t="s">
        <v>49</v>
      </c>
      <c r="B1746" s="21" t="s">
        <v>50</v>
      </c>
      <c r="C1746" s="15" t="str">
        <f>"20190115817"</f>
        <v>20190115817</v>
      </c>
      <c r="D1746" s="17">
        <v>60</v>
      </c>
    </row>
    <row r="1747" spans="1:4" ht="21.75" customHeight="1">
      <c r="A1747" s="20" t="s">
        <v>49</v>
      </c>
      <c r="B1747" s="21" t="s">
        <v>50</v>
      </c>
      <c r="C1747" s="15" t="str">
        <f>"20190115818"</f>
        <v>20190115818</v>
      </c>
      <c r="D1747" s="17">
        <v>55</v>
      </c>
    </row>
    <row r="1748" spans="1:4" ht="21.75" customHeight="1">
      <c r="A1748" s="20" t="s">
        <v>49</v>
      </c>
      <c r="B1748" s="21" t="s">
        <v>50</v>
      </c>
      <c r="C1748" s="15" t="str">
        <f>"20190115819"</f>
        <v>20190115819</v>
      </c>
      <c r="D1748" s="17">
        <v>54.5</v>
      </c>
    </row>
    <row r="1749" spans="1:4" ht="21.75" customHeight="1">
      <c r="A1749" s="20" t="s">
        <v>49</v>
      </c>
      <c r="B1749" s="21" t="s">
        <v>50</v>
      </c>
      <c r="C1749" s="15" t="str">
        <f>"20190115820"</f>
        <v>20190115820</v>
      </c>
      <c r="D1749" s="17">
        <v>60.5</v>
      </c>
    </row>
    <row r="1750" spans="1:4" ht="21.75" customHeight="1">
      <c r="A1750" s="20" t="s">
        <v>49</v>
      </c>
      <c r="B1750" s="21" t="s">
        <v>50</v>
      </c>
      <c r="C1750" s="15" t="str">
        <f>"20190115821"</f>
        <v>20190115821</v>
      </c>
      <c r="D1750" s="17">
        <v>58</v>
      </c>
    </row>
    <row r="1751" spans="1:4" ht="21.75" customHeight="1">
      <c r="A1751" s="20" t="s">
        <v>49</v>
      </c>
      <c r="B1751" s="21" t="s">
        <v>50</v>
      </c>
      <c r="C1751" s="15" t="str">
        <f>"20190115822"</f>
        <v>20190115822</v>
      </c>
      <c r="D1751" s="17">
        <v>61.5</v>
      </c>
    </row>
    <row r="1752" spans="1:4" ht="21.75" customHeight="1">
      <c r="A1752" s="20" t="s">
        <v>49</v>
      </c>
      <c r="B1752" s="21" t="s">
        <v>50</v>
      </c>
      <c r="C1752" s="15" t="str">
        <f>"20190115823"</f>
        <v>20190115823</v>
      </c>
      <c r="D1752" s="17">
        <v>60.5</v>
      </c>
    </row>
    <row r="1753" spans="1:4" ht="21.75" customHeight="1">
      <c r="A1753" s="20" t="s">
        <v>49</v>
      </c>
      <c r="B1753" s="21" t="s">
        <v>50</v>
      </c>
      <c r="C1753" s="15" t="str">
        <f>"20190115824"</f>
        <v>20190115824</v>
      </c>
      <c r="D1753" s="17">
        <v>54.5</v>
      </c>
    </row>
    <row r="1754" spans="1:4" ht="21.75" customHeight="1">
      <c r="A1754" s="20" t="s">
        <v>49</v>
      </c>
      <c r="B1754" s="21" t="s">
        <v>50</v>
      </c>
      <c r="C1754" s="15" t="str">
        <f>"20190115825"</f>
        <v>20190115825</v>
      </c>
      <c r="D1754" s="17">
        <v>58</v>
      </c>
    </row>
    <row r="1755" spans="1:4" ht="21.75" customHeight="1">
      <c r="A1755" s="15" t="s">
        <v>49</v>
      </c>
      <c r="B1755" s="16" t="s">
        <v>51</v>
      </c>
      <c r="C1755" s="15" t="str">
        <f>"20190115826"</f>
        <v>20190115826</v>
      </c>
      <c r="D1755" s="17" t="s">
        <v>12</v>
      </c>
    </row>
    <row r="1756" spans="1:5" ht="21.75" customHeight="1">
      <c r="A1756" s="15" t="s">
        <v>49</v>
      </c>
      <c r="B1756" s="16" t="s">
        <v>51</v>
      </c>
      <c r="C1756" s="15" t="str">
        <f>"20190115827"</f>
        <v>20190115827</v>
      </c>
      <c r="D1756" s="17">
        <v>69</v>
      </c>
      <c r="E1756" s="18" t="s">
        <v>9</v>
      </c>
    </row>
    <row r="1757" spans="1:5" ht="21.75" customHeight="1">
      <c r="A1757" s="15" t="s">
        <v>49</v>
      </c>
      <c r="B1757" s="16" t="s">
        <v>51</v>
      </c>
      <c r="C1757" s="15" t="str">
        <f>"20190115828"</f>
        <v>20190115828</v>
      </c>
      <c r="D1757" s="17">
        <v>67</v>
      </c>
      <c r="E1757" s="18" t="s">
        <v>9</v>
      </c>
    </row>
    <row r="1758" spans="1:4" ht="21.75" customHeight="1">
      <c r="A1758" s="15" t="s">
        <v>49</v>
      </c>
      <c r="B1758" s="16" t="s">
        <v>51</v>
      </c>
      <c r="C1758" s="15" t="str">
        <f>"20190115829"</f>
        <v>20190115829</v>
      </c>
      <c r="D1758" s="17">
        <v>60</v>
      </c>
    </row>
    <row r="1759" spans="1:5" ht="21.75" customHeight="1">
      <c r="A1759" s="15" t="s">
        <v>49</v>
      </c>
      <c r="B1759" s="16" t="s">
        <v>51</v>
      </c>
      <c r="C1759" s="15" t="str">
        <f>"20190115830"</f>
        <v>20190115830</v>
      </c>
      <c r="D1759" s="17">
        <v>66</v>
      </c>
      <c r="E1759" s="18" t="s">
        <v>9</v>
      </c>
    </row>
    <row r="1760" spans="1:4" ht="21.75" customHeight="1">
      <c r="A1760" s="20" t="s">
        <v>49</v>
      </c>
      <c r="B1760" s="21" t="s">
        <v>52</v>
      </c>
      <c r="C1760" s="15" t="str">
        <f>"20190115901"</f>
        <v>20190115901</v>
      </c>
      <c r="D1760" s="17">
        <v>60.5</v>
      </c>
    </row>
    <row r="1761" spans="1:5" ht="21.75" customHeight="1">
      <c r="A1761" s="20" t="s">
        <v>49</v>
      </c>
      <c r="B1761" s="21" t="s">
        <v>52</v>
      </c>
      <c r="C1761" s="15" t="str">
        <f>"20190115902"</f>
        <v>20190115902</v>
      </c>
      <c r="D1761" s="17">
        <v>66</v>
      </c>
      <c r="E1761" s="18" t="s">
        <v>9</v>
      </c>
    </row>
    <row r="1762" spans="1:5" ht="21.75" customHeight="1">
      <c r="A1762" s="20" t="s">
        <v>49</v>
      </c>
      <c r="B1762" s="21" t="s">
        <v>52</v>
      </c>
      <c r="C1762" s="15" t="str">
        <f>"20190115903"</f>
        <v>20190115903</v>
      </c>
      <c r="D1762" s="17">
        <v>66</v>
      </c>
      <c r="E1762" s="18" t="s">
        <v>9</v>
      </c>
    </row>
    <row r="1763" spans="1:4" ht="21.75" customHeight="1">
      <c r="A1763" s="20" t="s">
        <v>49</v>
      </c>
      <c r="B1763" s="21" t="s">
        <v>52</v>
      </c>
      <c r="C1763" s="15" t="str">
        <f>"20190115904"</f>
        <v>20190115904</v>
      </c>
      <c r="D1763" s="17">
        <v>64</v>
      </c>
    </row>
    <row r="1764" spans="1:5" ht="21.75" customHeight="1">
      <c r="A1764" s="20" t="s">
        <v>49</v>
      </c>
      <c r="B1764" s="21" t="s">
        <v>52</v>
      </c>
      <c r="C1764" s="15" t="str">
        <f>"20190115905"</f>
        <v>20190115905</v>
      </c>
      <c r="D1764" s="17">
        <v>67.5</v>
      </c>
      <c r="E1764" s="18" t="s">
        <v>9</v>
      </c>
    </row>
    <row r="1765" spans="1:5" ht="21.75" customHeight="1">
      <c r="A1765" s="20" t="s">
        <v>49</v>
      </c>
      <c r="B1765" s="21" t="s">
        <v>52</v>
      </c>
      <c r="C1765" s="15" t="str">
        <f>"20190115906"</f>
        <v>20190115906</v>
      </c>
      <c r="D1765" s="17">
        <v>73</v>
      </c>
      <c r="E1765" s="18" t="s">
        <v>9</v>
      </c>
    </row>
    <row r="1766" spans="1:4" ht="21.75" customHeight="1">
      <c r="A1766" s="20" t="s">
        <v>49</v>
      </c>
      <c r="B1766" s="21" t="s">
        <v>52</v>
      </c>
      <c r="C1766" s="15" t="str">
        <f>"20190115907"</f>
        <v>20190115907</v>
      </c>
      <c r="D1766" s="17">
        <v>62.5</v>
      </c>
    </row>
    <row r="1767" spans="1:5" ht="21.75" customHeight="1">
      <c r="A1767" s="20" t="s">
        <v>49</v>
      </c>
      <c r="B1767" s="21" t="s">
        <v>52</v>
      </c>
      <c r="C1767" s="15" t="str">
        <f>"20190115908"</f>
        <v>20190115908</v>
      </c>
      <c r="D1767" s="17">
        <v>71</v>
      </c>
      <c r="E1767" s="18" t="s">
        <v>9</v>
      </c>
    </row>
    <row r="1768" spans="1:5" ht="21.75" customHeight="1">
      <c r="A1768" s="20" t="s">
        <v>49</v>
      </c>
      <c r="B1768" s="21" t="s">
        <v>52</v>
      </c>
      <c r="C1768" s="15" t="str">
        <f>"20190115909"</f>
        <v>20190115909</v>
      </c>
      <c r="D1768" s="17">
        <v>68.5</v>
      </c>
      <c r="E1768" s="18" t="s">
        <v>9</v>
      </c>
    </row>
    <row r="1769" spans="1:4" ht="21.75" customHeight="1">
      <c r="A1769" s="20" t="s">
        <v>49</v>
      </c>
      <c r="B1769" s="21" t="s">
        <v>52</v>
      </c>
      <c r="C1769" s="15" t="str">
        <f>"20190115910"</f>
        <v>20190115910</v>
      </c>
      <c r="D1769" s="17">
        <v>61.5</v>
      </c>
    </row>
    <row r="1770" spans="1:4" ht="21.75" customHeight="1">
      <c r="A1770" s="20" t="s">
        <v>49</v>
      </c>
      <c r="B1770" s="21" t="s">
        <v>52</v>
      </c>
      <c r="C1770" s="15" t="str">
        <f>"20190115911"</f>
        <v>20190115911</v>
      </c>
      <c r="D1770" s="17">
        <v>63</v>
      </c>
    </row>
    <row r="1771" spans="1:4" ht="21.75" customHeight="1">
      <c r="A1771" s="20" t="s">
        <v>49</v>
      </c>
      <c r="B1771" s="21" t="s">
        <v>52</v>
      </c>
      <c r="C1771" s="15" t="str">
        <f>"20190115912"</f>
        <v>20190115912</v>
      </c>
      <c r="D1771" s="17">
        <v>56.5</v>
      </c>
    </row>
    <row r="1772" spans="1:4" ht="21.75" customHeight="1">
      <c r="A1772" s="20" t="s">
        <v>49</v>
      </c>
      <c r="B1772" s="21" t="s">
        <v>52</v>
      </c>
      <c r="C1772" s="15" t="str">
        <f>"20190115913"</f>
        <v>20190115913</v>
      </c>
      <c r="D1772" s="17">
        <v>61.5</v>
      </c>
    </row>
    <row r="1773" spans="1:4" ht="21.75" customHeight="1">
      <c r="A1773" s="20" t="s">
        <v>49</v>
      </c>
      <c r="B1773" s="21" t="s">
        <v>52</v>
      </c>
      <c r="C1773" s="15" t="str">
        <f>"20190115914"</f>
        <v>20190115914</v>
      </c>
      <c r="D1773" s="17">
        <v>65.5</v>
      </c>
    </row>
    <row r="1774" spans="1:4" ht="21.75" customHeight="1">
      <c r="A1774" s="20" t="s">
        <v>49</v>
      </c>
      <c r="B1774" s="21" t="s">
        <v>52</v>
      </c>
      <c r="C1774" s="15" t="str">
        <f>"20190115915"</f>
        <v>20190115915</v>
      </c>
      <c r="D1774" s="17">
        <v>65.5</v>
      </c>
    </row>
    <row r="1775" spans="1:4" ht="21.75" customHeight="1">
      <c r="A1775" s="20" t="s">
        <v>49</v>
      </c>
      <c r="B1775" s="21" t="s">
        <v>52</v>
      </c>
      <c r="C1775" s="15" t="str">
        <f>"20190115916"</f>
        <v>20190115916</v>
      </c>
      <c r="D1775" s="17" t="s">
        <v>12</v>
      </c>
    </row>
    <row r="1776" spans="1:5" ht="21.75" customHeight="1">
      <c r="A1776" s="20" t="s">
        <v>49</v>
      </c>
      <c r="B1776" s="21" t="s">
        <v>52</v>
      </c>
      <c r="C1776" s="15" t="str">
        <f>"20190115917"</f>
        <v>20190115917</v>
      </c>
      <c r="D1776" s="17">
        <v>69.5</v>
      </c>
      <c r="E1776" s="18" t="s">
        <v>9</v>
      </c>
    </row>
    <row r="1777" spans="1:4" ht="21.75" customHeight="1">
      <c r="A1777" s="15" t="s">
        <v>49</v>
      </c>
      <c r="B1777" s="16" t="s">
        <v>53</v>
      </c>
      <c r="C1777" s="15" t="str">
        <f>"20190115918"</f>
        <v>20190115918</v>
      </c>
      <c r="D1777" s="17">
        <v>64.5</v>
      </c>
    </row>
    <row r="1778" spans="1:4" ht="21.75" customHeight="1">
      <c r="A1778" s="15" t="s">
        <v>49</v>
      </c>
      <c r="B1778" s="16" t="s">
        <v>53</v>
      </c>
      <c r="C1778" s="15" t="str">
        <f>"20190115919"</f>
        <v>20190115919</v>
      </c>
      <c r="D1778" s="17">
        <v>66.5</v>
      </c>
    </row>
    <row r="1779" spans="1:4" ht="21.75" customHeight="1">
      <c r="A1779" s="15" t="s">
        <v>49</v>
      </c>
      <c r="B1779" s="16" t="s">
        <v>53</v>
      </c>
      <c r="C1779" s="15" t="str">
        <f>"20190115920"</f>
        <v>20190115920</v>
      </c>
      <c r="D1779" s="17">
        <v>65.5</v>
      </c>
    </row>
    <row r="1780" spans="1:4" ht="21.75" customHeight="1">
      <c r="A1780" s="15" t="s">
        <v>49</v>
      </c>
      <c r="B1780" s="16" t="s">
        <v>53</v>
      </c>
      <c r="C1780" s="15" t="str">
        <f>"20190115921"</f>
        <v>20190115921</v>
      </c>
      <c r="D1780" s="17">
        <v>56.5</v>
      </c>
    </row>
    <row r="1781" spans="1:4" ht="21.75" customHeight="1">
      <c r="A1781" s="15" t="s">
        <v>49</v>
      </c>
      <c r="B1781" s="16" t="s">
        <v>53</v>
      </c>
      <c r="C1781" s="15" t="str">
        <f>"20190115922"</f>
        <v>20190115922</v>
      </c>
      <c r="D1781" s="17">
        <v>70</v>
      </c>
    </row>
    <row r="1782" spans="1:4" ht="21.75" customHeight="1">
      <c r="A1782" s="15" t="s">
        <v>49</v>
      </c>
      <c r="B1782" s="16" t="s">
        <v>53</v>
      </c>
      <c r="C1782" s="15" t="str">
        <f>"20190115923"</f>
        <v>20190115923</v>
      </c>
      <c r="D1782" s="17">
        <v>63</v>
      </c>
    </row>
    <row r="1783" spans="1:5" ht="21.75" customHeight="1">
      <c r="A1783" s="15" t="s">
        <v>49</v>
      </c>
      <c r="B1783" s="16" t="s">
        <v>53</v>
      </c>
      <c r="C1783" s="15" t="str">
        <f>"20190115924"</f>
        <v>20190115924</v>
      </c>
      <c r="D1783" s="17">
        <v>75.5</v>
      </c>
      <c r="E1783" s="18" t="s">
        <v>9</v>
      </c>
    </row>
    <row r="1784" spans="1:4" ht="21.75" customHeight="1">
      <c r="A1784" s="15" t="s">
        <v>49</v>
      </c>
      <c r="B1784" s="16" t="s">
        <v>53</v>
      </c>
      <c r="C1784" s="15" t="str">
        <f>"20190115925"</f>
        <v>20190115925</v>
      </c>
      <c r="D1784" s="17">
        <v>65</v>
      </c>
    </row>
    <row r="1785" spans="1:4" ht="21.75" customHeight="1">
      <c r="A1785" s="15" t="s">
        <v>49</v>
      </c>
      <c r="B1785" s="16" t="s">
        <v>53</v>
      </c>
      <c r="C1785" s="15" t="str">
        <f>"20190115926"</f>
        <v>20190115926</v>
      </c>
      <c r="D1785" s="17">
        <v>68</v>
      </c>
    </row>
    <row r="1786" spans="1:4" ht="21.75" customHeight="1">
      <c r="A1786" s="15" t="s">
        <v>49</v>
      </c>
      <c r="B1786" s="16" t="s">
        <v>53</v>
      </c>
      <c r="C1786" s="15" t="str">
        <f>"20190115927"</f>
        <v>20190115927</v>
      </c>
      <c r="D1786" s="17" t="s">
        <v>12</v>
      </c>
    </row>
    <row r="1787" spans="1:4" ht="21.75" customHeight="1">
      <c r="A1787" s="15" t="s">
        <v>49</v>
      </c>
      <c r="B1787" s="16" t="s">
        <v>53</v>
      </c>
      <c r="C1787" s="15" t="str">
        <f>"20190115928"</f>
        <v>20190115928</v>
      </c>
      <c r="D1787" s="17">
        <v>67.5</v>
      </c>
    </row>
    <row r="1788" spans="1:4" ht="21.75" customHeight="1">
      <c r="A1788" s="15" t="s">
        <v>49</v>
      </c>
      <c r="B1788" s="16" t="s">
        <v>53</v>
      </c>
      <c r="C1788" s="15" t="str">
        <f>"20190115929"</f>
        <v>20190115929</v>
      </c>
      <c r="D1788" s="17">
        <v>70</v>
      </c>
    </row>
    <row r="1789" spans="1:4" ht="21.75" customHeight="1">
      <c r="A1789" s="15" t="s">
        <v>49</v>
      </c>
      <c r="B1789" s="16" t="s">
        <v>53</v>
      </c>
      <c r="C1789" s="15" t="str">
        <f>"20190115930"</f>
        <v>20190115930</v>
      </c>
      <c r="D1789" s="17">
        <v>66</v>
      </c>
    </row>
    <row r="1790" spans="1:5" ht="21.75" customHeight="1">
      <c r="A1790" s="15" t="s">
        <v>49</v>
      </c>
      <c r="B1790" s="16" t="s">
        <v>53</v>
      </c>
      <c r="C1790" s="15" t="str">
        <f>"20190116001"</f>
        <v>20190116001</v>
      </c>
      <c r="D1790" s="17">
        <v>75</v>
      </c>
      <c r="E1790" s="18" t="s">
        <v>9</v>
      </c>
    </row>
    <row r="1791" spans="1:4" ht="21.75" customHeight="1">
      <c r="A1791" s="15" t="s">
        <v>49</v>
      </c>
      <c r="B1791" s="16" t="s">
        <v>53</v>
      </c>
      <c r="C1791" s="15" t="str">
        <f>"20190116002"</f>
        <v>20190116002</v>
      </c>
      <c r="D1791" s="17">
        <v>65.5</v>
      </c>
    </row>
    <row r="1792" spans="1:4" ht="21.75" customHeight="1">
      <c r="A1792" s="15" t="s">
        <v>49</v>
      </c>
      <c r="B1792" s="16" t="s">
        <v>53</v>
      </c>
      <c r="C1792" s="15" t="str">
        <f>"20190116003"</f>
        <v>20190116003</v>
      </c>
      <c r="D1792" s="17">
        <v>54.5</v>
      </c>
    </row>
    <row r="1793" spans="1:4" ht="21.75" customHeight="1">
      <c r="A1793" s="15" t="s">
        <v>49</v>
      </c>
      <c r="B1793" s="16" t="s">
        <v>53</v>
      </c>
      <c r="C1793" s="15" t="str">
        <f>"20190116004"</f>
        <v>20190116004</v>
      </c>
      <c r="D1793" s="17">
        <v>71</v>
      </c>
    </row>
    <row r="1794" spans="1:4" ht="21.75" customHeight="1">
      <c r="A1794" s="15" t="s">
        <v>49</v>
      </c>
      <c r="B1794" s="16" t="s">
        <v>53</v>
      </c>
      <c r="C1794" s="15" t="str">
        <f>"20190116005"</f>
        <v>20190116005</v>
      </c>
      <c r="D1794" s="17">
        <v>65.5</v>
      </c>
    </row>
    <row r="1795" spans="1:4" ht="21.75" customHeight="1">
      <c r="A1795" s="15" t="s">
        <v>49</v>
      </c>
      <c r="B1795" s="16" t="s">
        <v>53</v>
      </c>
      <c r="C1795" s="15" t="str">
        <f>"20190116006"</f>
        <v>20190116006</v>
      </c>
      <c r="D1795" s="17">
        <v>69</v>
      </c>
    </row>
    <row r="1796" spans="1:4" ht="21.75" customHeight="1">
      <c r="A1796" s="15" t="s">
        <v>49</v>
      </c>
      <c r="B1796" s="16" t="s">
        <v>53</v>
      </c>
      <c r="C1796" s="15" t="str">
        <f>"20190116007"</f>
        <v>20190116007</v>
      </c>
      <c r="D1796" s="17">
        <v>68</v>
      </c>
    </row>
    <row r="1797" spans="1:4" ht="21.75" customHeight="1">
      <c r="A1797" s="15" t="s">
        <v>49</v>
      </c>
      <c r="B1797" s="16" t="s">
        <v>53</v>
      </c>
      <c r="C1797" s="15" t="str">
        <f>"20190116008"</f>
        <v>20190116008</v>
      </c>
      <c r="D1797" s="17">
        <v>60.5</v>
      </c>
    </row>
    <row r="1798" spans="1:4" ht="21.75" customHeight="1">
      <c r="A1798" s="15" t="s">
        <v>49</v>
      </c>
      <c r="B1798" s="16" t="s">
        <v>53</v>
      </c>
      <c r="C1798" s="15" t="str">
        <f>"20190116009"</f>
        <v>20190116009</v>
      </c>
      <c r="D1798" s="17">
        <v>64.5</v>
      </c>
    </row>
    <row r="1799" spans="1:5" ht="21.75" customHeight="1">
      <c r="A1799" s="15" t="s">
        <v>49</v>
      </c>
      <c r="B1799" s="16" t="s">
        <v>53</v>
      </c>
      <c r="C1799" s="15" t="str">
        <f>"20190116010"</f>
        <v>20190116010</v>
      </c>
      <c r="D1799" s="17">
        <v>73.5</v>
      </c>
      <c r="E1799" s="18" t="s">
        <v>9</v>
      </c>
    </row>
    <row r="1800" spans="1:4" ht="21.75" customHeight="1">
      <c r="A1800" s="15" t="s">
        <v>49</v>
      </c>
      <c r="B1800" s="16" t="s">
        <v>53</v>
      </c>
      <c r="C1800" s="15" t="str">
        <f>"20190116011"</f>
        <v>20190116011</v>
      </c>
      <c r="D1800" s="17">
        <v>69</v>
      </c>
    </row>
    <row r="1801" spans="1:4" ht="21.75" customHeight="1">
      <c r="A1801" s="15" t="s">
        <v>49</v>
      </c>
      <c r="B1801" s="16" t="s">
        <v>53</v>
      </c>
      <c r="C1801" s="15" t="str">
        <f>"20190116012"</f>
        <v>20190116012</v>
      </c>
      <c r="D1801" s="17" t="s">
        <v>12</v>
      </c>
    </row>
    <row r="1802" spans="1:5" ht="21.75" customHeight="1">
      <c r="A1802" s="15" t="s">
        <v>49</v>
      </c>
      <c r="B1802" s="16" t="s">
        <v>53</v>
      </c>
      <c r="C1802" s="15" t="str">
        <f>"20190116013"</f>
        <v>20190116013</v>
      </c>
      <c r="D1802" s="17" t="s">
        <v>12</v>
      </c>
      <c r="E1802" s="19"/>
    </row>
    <row r="1803" spans="1:5" ht="21.75" customHeight="1">
      <c r="A1803" s="15" t="s">
        <v>49</v>
      </c>
      <c r="B1803" s="16" t="s">
        <v>53</v>
      </c>
      <c r="C1803" s="15" t="str">
        <f>"20190116014"</f>
        <v>20190116014</v>
      </c>
      <c r="D1803" s="17">
        <v>68</v>
      </c>
      <c r="E1803" s="19"/>
    </row>
    <row r="1804" spans="1:5" ht="21.75" customHeight="1">
      <c r="A1804" s="15" t="s">
        <v>49</v>
      </c>
      <c r="B1804" s="16" t="s">
        <v>53</v>
      </c>
      <c r="C1804" s="15" t="str">
        <f>"20190116015"</f>
        <v>20190116015</v>
      </c>
      <c r="D1804" s="17">
        <v>63</v>
      </c>
      <c r="E1804" s="19"/>
    </row>
    <row r="1805" spans="1:4" ht="21.75" customHeight="1">
      <c r="A1805" s="15" t="s">
        <v>49</v>
      </c>
      <c r="B1805" s="16" t="s">
        <v>53</v>
      </c>
      <c r="C1805" s="15" t="str">
        <f>"20190116016"</f>
        <v>20190116016</v>
      </c>
      <c r="D1805" s="17">
        <v>65.5</v>
      </c>
    </row>
    <row r="1806" spans="1:4" ht="21.75" customHeight="1">
      <c r="A1806" s="15" t="s">
        <v>49</v>
      </c>
      <c r="B1806" s="16" t="s">
        <v>53</v>
      </c>
      <c r="C1806" s="15" t="str">
        <f>"20190116017"</f>
        <v>20190116017</v>
      </c>
      <c r="D1806" s="17" t="s">
        <v>12</v>
      </c>
    </row>
    <row r="1807" spans="1:4" ht="21.75" customHeight="1">
      <c r="A1807" s="15" t="s">
        <v>49</v>
      </c>
      <c r="B1807" s="16" t="s">
        <v>53</v>
      </c>
      <c r="C1807" s="15" t="str">
        <f>"20190116018"</f>
        <v>20190116018</v>
      </c>
      <c r="D1807" s="17">
        <v>63.5</v>
      </c>
    </row>
    <row r="1808" spans="1:4" ht="21.75" customHeight="1">
      <c r="A1808" s="15" t="s">
        <v>49</v>
      </c>
      <c r="B1808" s="16" t="s">
        <v>53</v>
      </c>
      <c r="C1808" s="15" t="str">
        <f>"20190116019"</f>
        <v>20190116019</v>
      </c>
      <c r="D1808" s="17">
        <v>60</v>
      </c>
    </row>
    <row r="1809" spans="1:4" ht="21.75" customHeight="1">
      <c r="A1809" s="15" t="s">
        <v>49</v>
      </c>
      <c r="B1809" s="16" t="s">
        <v>53</v>
      </c>
      <c r="C1809" s="15" t="str">
        <f>"20190116020"</f>
        <v>20190116020</v>
      </c>
      <c r="D1809" s="17">
        <v>62.5</v>
      </c>
    </row>
    <row r="1810" spans="1:4" ht="21.75" customHeight="1">
      <c r="A1810" s="15" t="s">
        <v>49</v>
      </c>
      <c r="B1810" s="16" t="s">
        <v>53</v>
      </c>
      <c r="C1810" s="15" t="str">
        <f>"20190116021"</f>
        <v>20190116021</v>
      </c>
      <c r="D1810" s="17" t="s">
        <v>12</v>
      </c>
    </row>
    <row r="1811" spans="1:4" ht="21.75" customHeight="1">
      <c r="A1811" s="15" t="s">
        <v>49</v>
      </c>
      <c r="B1811" s="16" t="s">
        <v>53</v>
      </c>
      <c r="C1811" s="15" t="str">
        <f>"20190116022"</f>
        <v>20190116022</v>
      </c>
      <c r="D1811" s="17">
        <v>62</v>
      </c>
    </row>
    <row r="1812" spans="1:4" ht="21.75" customHeight="1">
      <c r="A1812" s="15" t="s">
        <v>49</v>
      </c>
      <c r="B1812" s="16" t="s">
        <v>53</v>
      </c>
      <c r="C1812" s="15" t="str">
        <f>"20190116023"</f>
        <v>20190116023</v>
      </c>
      <c r="D1812" s="17">
        <v>65.5</v>
      </c>
    </row>
    <row r="1813" spans="1:4" ht="21.75" customHeight="1">
      <c r="A1813" s="15" t="s">
        <v>49</v>
      </c>
      <c r="B1813" s="16" t="s">
        <v>53</v>
      </c>
      <c r="C1813" s="15" t="str">
        <f>"20190116024"</f>
        <v>20190116024</v>
      </c>
      <c r="D1813" s="17" t="s">
        <v>12</v>
      </c>
    </row>
    <row r="1814" spans="1:4" ht="21.75" customHeight="1">
      <c r="A1814" s="15" t="s">
        <v>49</v>
      </c>
      <c r="B1814" s="16" t="s">
        <v>53</v>
      </c>
      <c r="C1814" s="15" t="str">
        <f>"20190116025"</f>
        <v>20190116025</v>
      </c>
      <c r="D1814" s="17" t="s">
        <v>12</v>
      </c>
    </row>
    <row r="1815" spans="1:4" ht="21.75" customHeight="1">
      <c r="A1815" s="15" t="s">
        <v>49</v>
      </c>
      <c r="B1815" s="16" t="s">
        <v>53</v>
      </c>
      <c r="C1815" s="15" t="str">
        <f>"20190116026"</f>
        <v>20190116026</v>
      </c>
      <c r="D1815" s="17">
        <v>66.5</v>
      </c>
    </row>
    <row r="1816" spans="1:4" ht="21.75" customHeight="1">
      <c r="A1816" s="15" t="s">
        <v>49</v>
      </c>
      <c r="B1816" s="16" t="s">
        <v>53</v>
      </c>
      <c r="C1816" s="15" t="str">
        <f>"20190116027"</f>
        <v>20190116027</v>
      </c>
      <c r="D1816" s="17">
        <v>61.5</v>
      </c>
    </row>
    <row r="1817" spans="1:4" ht="21.75" customHeight="1">
      <c r="A1817" s="15" t="s">
        <v>49</v>
      </c>
      <c r="B1817" s="16" t="s">
        <v>53</v>
      </c>
      <c r="C1817" s="15" t="str">
        <f>"20190116028"</f>
        <v>20190116028</v>
      </c>
      <c r="D1817" s="17" t="s">
        <v>12</v>
      </c>
    </row>
    <row r="1818" spans="1:4" ht="21.75" customHeight="1">
      <c r="A1818" s="15" t="s">
        <v>49</v>
      </c>
      <c r="B1818" s="16" t="s">
        <v>53</v>
      </c>
      <c r="C1818" s="15" t="str">
        <f>"20190116029"</f>
        <v>20190116029</v>
      </c>
      <c r="D1818" s="17" t="s">
        <v>12</v>
      </c>
    </row>
    <row r="1819" spans="1:4" ht="21.75" customHeight="1">
      <c r="A1819" s="15" t="s">
        <v>49</v>
      </c>
      <c r="B1819" s="16" t="s">
        <v>53</v>
      </c>
      <c r="C1819" s="15" t="str">
        <f>"20190116030"</f>
        <v>20190116030</v>
      </c>
      <c r="D1819" s="17">
        <v>66</v>
      </c>
    </row>
    <row r="1820" spans="1:4" ht="21.75" customHeight="1">
      <c r="A1820" s="15" t="s">
        <v>49</v>
      </c>
      <c r="B1820" s="16" t="s">
        <v>53</v>
      </c>
      <c r="C1820" s="15" t="str">
        <f>"20190116101"</f>
        <v>20190116101</v>
      </c>
      <c r="D1820" s="17">
        <v>56.5</v>
      </c>
    </row>
    <row r="1821" spans="1:4" ht="21.75" customHeight="1">
      <c r="A1821" s="15" t="s">
        <v>49</v>
      </c>
      <c r="B1821" s="16" t="s">
        <v>53</v>
      </c>
      <c r="C1821" s="15" t="str">
        <f>"20190116102"</f>
        <v>20190116102</v>
      </c>
      <c r="D1821" s="17" t="s">
        <v>12</v>
      </c>
    </row>
    <row r="1822" spans="1:4" ht="21.75" customHeight="1">
      <c r="A1822" s="15" t="s">
        <v>49</v>
      </c>
      <c r="B1822" s="16" t="s">
        <v>53</v>
      </c>
      <c r="C1822" s="15" t="str">
        <f>"20190116103"</f>
        <v>20190116103</v>
      </c>
      <c r="D1822" s="17">
        <v>62.5</v>
      </c>
    </row>
    <row r="1823" spans="1:4" ht="21.75" customHeight="1">
      <c r="A1823" s="15" t="s">
        <v>49</v>
      </c>
      <c r="B1823" s="16" t="s">
        <v>53</v>
      </c>
      <c r="C1823" s="15" t="str">
        <f>"20190116104"</f>
        <v>20190116104</v>
      </c>
      <c r="D1823" s="17" t="s">
        <v>12</v>
      </c>
    </row>
    <row r="1824" spans="1:4" ht="21.75" customHeight="1">
      <c r="A1824" s="15" t="s">
        <v>49</v>
      </c>
      <c r="B1824" s="16" t="s">
        <v>53</v>
      </c>
      <c r="C1824" s="15" t="str">
        <f>"20190116105"</f>
        <v>20190116105</v>
      </c>
      <c r="D1824" s="17">
        <v>61</v>
      </c>
    </row>
    <row r="1825" spans="1:5" ht="21.75" customHeight="1">
      <c r="A1825" s="15" t="s">
        <v>49</v>
      </c>
      <c r="B1825" s="16" t="s">
        <v>53</v>
      </c>
      <c r="C1825" s="15" t="str">
        <f>"20190116106"</f>
        <v>20190116106</v>
      </c>
      <c r="D1825" s="17">
        <v>76</v>
      </c>
      <c r="E1825" s="18" t="s">
        <v>9</v>
      </c>
    </row>
    <row r="1826" spans="1:4" ht="21.75" customHeight="1">
      <c r="A1826" s="15" t="s">
        <v>49</v>
      </c>
      <c r="B1826" s="16" t="s">
        <v>53</v>
      </c>
      <c r="C1826" s="15" t="str">
        <f>"20190116107"</f>
        <v>20190116107</v>
      </c>
      <c r="D1826" s="17">
        <v>67.5</v>
      </c>
    </row>
    <row r="1827" spans="1:5" ht="21.75" customHeight="1">
      <c r="A1827" s="15" t="s">
        <v>49</v>
      </c>
      <c r="B1827" s="16" t="s">
        <v>53</v>
      </c>
      <c r="C1827" s="15" t="str">
        <f>"20190116108"</f>
        <v>20190116108</v>
      </c>
      <c r="D1827" s="17">
        <v>78.5</v>
      </c>
      <c r="E1827" s="18" t="s">
        <v>9</v>
      </c>
    </row>
    <row r="1828" spans="1:4" ht="21.75" customHeight="1">
      <c r="A1828" s="15" t="s">
        <v>49</v>
      </c>
      <c r="B1828" s="16" t="s">
        <v>53</v>
      </c>
      <c r="C1828" s="15" t="str">
        <f>"20190116109"</f>
        <v>20190116109</v>
      </c>
      <c r="D1828" s="17">
        <v>65.5</v>
      </c>
    </row>
    <row r="1829" spans="1:4" ht="21.75" customHeight="1">
      <c r="A1829" s="15" t="s">
        <v>49</v>
      </c>
      <c r="B1829" s="16" t="s">
        <v>53</v>
      </c>
      <c r="C1829" s="15" t="str">
        <f>"20190116110"</f>
        <v>20190116110</v>
      </c>
      <c r="D1829" s="17">
        <v>60</v>
      </c>
    </row>
    <row r="1830" spans="1:4" ht="21.75" customHeight="1">
      <c r="A1830" s="15" t="s">
        <v>49</v>
      </c>
      <c r="B1830" s="16" t="s">
        <v>53</v>
      </c>
      <c r="C1830" s="15" t="str">
        <f>"20190116111"</f>
        <v>20190116111</v>
      </c>
      <c r="D1830" s="17" t="s">
        <v>12</v>
      </c>
    </row>
    <row r="1831" spans="1:4" ht="21.75" customHeight="1">
      <c r="A1831" s="15" t="s">
        <v>49</v>
      </c>
      <c r="B1831" s="16" t="s">
        <v>53</v>
      </c>
      <c r="C1831" s="15" t="str">
        <f>"20190116112"</f>
        <v>20190116112</v>
      </c>
      <c r="D1831" s="17">
        <v>65.5</v>
      </c>
    </row>
    <row r="1832" spans="1:4" ht="21.75" customHeight="1">
      <c r="A1832" s="15" t="s">
        <v>49</v>
      </c>
      <c r="B1832" s="16" t="s">
        <v>53</v>
      </c>
      <c r="C1832" s="15" t="str">
        <f>"20190116113"</f>
        <v>20190116113</v>
      </c>
      <c r="D1832" s="17">
        <v>69</v>
      </c>
    </row>
    <row r="1833" spans="1:5" ht="21.75" customHeight="1">
      <c r="A1833" s="15" t="s">
        <v>49</v>
      </c>
      <c r="B1833" s="16" t="s">
        <v>53</v>
      </c>
      <c r="C1833" s="15" t="str">
        <f>"20190116114"</f>
        <v>20190116114</v>
      </c>
      <c r="D1833" s="17">
        <v>72</v>
      </c>
      <c r="E1833" s="18" t="s">
        <v>9</v>
      </c>
    </row>
    <row r="1834" spans="1:4" ht="21.75" customHeight="1">
      <c r="A1834" s="15" t="s">
        <v>49</v>
      </c>
      <c r="B1834" s="16" t="s">
        <v>53</v>
      </c>
      <c r="C1834" s="15" t="str">
        <f>"20190116115"</f>
        <v>20190116115</v>
      </c>
      <c r="D1834" s="17">
        <v>61.5</v>
      </c>
    </row>
    <row r="1835" spans="1:4" ht="21.75" customHeight="1">
      <c r="A1835" s="15" t="s">
        <v>49</v>
      </c>
      <c r="B1835" s="16" t="s">
        <v>53</v>
      </c>
      <c r="C1835" s="15" t="str">
        <f>"20190116116"</f>
        <v>20190116116</v>
      </c>
      <c r="D1835" s="17">
        <v>61</v>
      </c>
    </row>
    <row r="1836" spans="1:4" ht="21.75" customHeight="1">
      <c r="A1836" s="20" t="s">
        <v>54</v>
      </c>
      <c r="B1836" s="21" t="s">
        <v>8</v>
      </c>
      <c r="C1836" s="15" t="str">
        <f>"20190116117"</f>
        <v>20190116117</v>
      </c>
      <c r="D1836" s="17">
        <v>64.5</v>
      </c>
    </row>
    <row r="1837" spans="1:4" ht="21.75" customHeight="1">
      <c r="A1837" s="20" t="s">
        <v>54</v>
      </c>
      <c r="B1837" s="21" t="s">
        <v>8</v>
      </c>
      <c r="C1837" s="15" t="str">
        <f>"20190116118"</f>
        <v>20190116118</v>
      </c>
      <c r="D1837" s="17">
        <v>57</v>
      </c>
    </row>
    <row r="1838" spans="1:4" ht="21.75" customHeight="1">
      <c r="A1838" s="20" t="s">
        <v>54</v>
      </c>
      <c r="B1838" s="21" t="s">
        <v>8</v>
      </c>
      <c r="C1838" s="15" t="str">
        <f>"20190116119"</f>
        <v>20190116119</v>
      </c>
      <c r="D1838" s="17">
        <v>65</v>
      </c>
    </row>
    <row r="1839" spans="1:4" ht="21.75" customHeight="1">
      <c r="A1839" s="20" t="s">
        <v>54</v>
      </c>
      <c r="B1839" s="21" t="s">
        <v>8</v>
      </c>
      <c r="C1839" s="15" t="str">
        <f>"20190116120"</f>
        <v>20190116120</v>
      </c>
      <c r="D1839" s="17" t="s">
        <v>12</v>
      </c>
    </row>
    <row r="1840" spans="1:4" ht="21.75" customHeight="1">
      <c r="A1840" s="20" t="s">
        <v>54</v>
      </c>
      <c r="B1840" s="21" t="s">
        <v>8</v>
      </c>
      <c r="C1840" s="15" t="str">
        <f>"20190116121"</f>
        <v>20190116121</v>
      </c>
      <c r="D1840" s="17">
        <v>38.5</v>
      </c>
    </row>
    <row r="1841" spans="1:4" ht="21.75" customHeight="1">
      <c r="A1841" s="20" t="s">
        <v>54</v>
      </c>
      <c r="B1841" s="21" t="s">
        <v>8</v>
      </c>
      <c r="C1841" s="15" t="str">
        <f>"20190116122"</f>
        <v>20190116122</v>
      </c>
      <c r="D1841" s="17" t="s">
        <v>12</v>
      </c>
    </row>
    <row r="1842" spans="1:4" ht="21.75" customHeight="1">
      <c r="A1842" s="20" t="s">
        <v>54</v>
      </c>
      <c r="B1842" s="21" t="s">
        <v>8</v>
      </c>
      <c r="C1842" s="15" t="str">
        <f>"20190116123"</f>
        <v>20190116123</v>
      </c>
      <c r="D1842" s="17">
        <v>51.5</v>
      </c>
    </row>
    <row r="1843" spans="1:4" ht="21.75" customHeight="1">
      <c r="A1843" s="20" t="s">
        <v>54</v>
      </c>
      <c r="B1843" s="21" t="s">
        <v>8</v>
      </c>
      <c r="C1843" s="15" t="str">
        <f>"20190116124"</f>
        <v>20190116124</v>
      </c>
      <c r="D1843" s="17" t="s">
        <v>12</v>
      </c>
    </row>
    <row r="1844" spans="1:4" ht="21.75" customHeight="1">
      <c r="A1844" s="20" t="s">
        <v>54</v>
      </c>
      <c r="B1844" s="21" t="s">
        <v>8</v>
      </c>
      <c r="C1844" s="15" t="str">
        <f>"20190116125"</f>
        <v>20190116125</v>
      </c>
      <c r="D1844" s="17">
        <v>67</v>
      </c>
    </row>
    <row r="1845" spans="1:4" ht="21.75" customHeight="1">
      <c r="A1845" s="20" t="s">
        <v>54</v>
      </c>
      <c r="B1845" s="21" t="s">
        <v>8</v>
      </c>
      <c r="C1845" s="15" t="str">
        <f>"20190116126"</f>
        <v>20190116126</v>
      </c>
      <c r="D1845" s="17">
        <v>68</v>
      </c>
    </row>
    <row r="1846" spans="1:4" ht="21.75" customHeight="1">
      <c r="A1846" s="20" t="s">
        <v>54</v>
      </c>
      <c r="B1846" s="21" t="s">
        <v>8</v>
      </c>
      <c r="C1846" s="15" t="str">
        <f>"20190116127"</f>
        <v>20190116127</v>
      </c>
      <c r="D1846" s="17">
        <v>59.5</v>
      </c>
    </row>
    <row r="1847" spans="1:4" ht="21.75" customHeight="1">
      <c r="A1847" s="20" t="s">
        <v>54</v>
      </c>
      <c r="B1847" s="21" t="s">
        <v>8</v>
      </c>
      <c r="C1847" s="15" t="str">
        <f>"20190116128"</f>
        <v>20190116128</v>
      </c>
      <c r="D1847" s="17">
        <v>54.5</v>
      </c>
    </row>
    <row r="1848" spans="1:4" ht="21.75" customHeight="1">
      <c r="A1848" s="20" t="s">
        <v>54</v>
      </c>
      <c r="B1848" s="21" t="s">
        <v>8</v>
      </c>
      <c r="C1848" s="15" t="str">
        <f>"20190116129"</f>
        <v>20190116129</v>
      </c>
      <c r="D1848" s="17" t="s">
        <v>12</v>
      </c>
    </row>
    <row r="1849" spans="1:4" ht="21.75" customHeight="1">
      <c r="A1849" s="20" t="s">
        <v>54</v>
      </c>
      <c r="B1849" s="21" t="s">
        <v>8</v>
      </c>
      <c r="C1849" s="15" t="str">
        <f>"20190116130"</f>
        <v>20190116130</v>
      </c>
      <c r="D1849" s="17">
        <v>62</v>
      </c>
    </row>
    <row r="1850" spans="1:4" ht="21.75" customHeight="1">
      <c r="A1850" s="20" t="s">
        <v>54</v>
      </c>
      <c r="B1850" s="21" t="s">
        <v>8</v>
      </c>
      <c r="C1850" s="15" t="str">
        <f>"20190116201"</f>
        <v>20190116201</v>
      </c>
      <c r="D1850" s="17">
        <v>43.5</v>
      </c>
    </row>
    <row r="1851" spans="1:4" ht="21.75" customHeight="1">
      <c r="A1851" s="20" t="s">
        <v>54</v>
      </c>
      <c r="B1851" s="21" t="s">
        <v>8</v>
      </c>
      <c r="C1851" s="15" t="str">
        <f>"20190116202"</f>
        <v>20190116202</v>
      </c>
      <c r="D1851" s="17" t="s">
        <v>12</v>
      </c>
    </row>
    <row r="1852" spans="1:4" ht="21.75" customHeight="1">
      <c r="A1852" s="20" t="s">
        <v>54</v>
      </c>
      <c r="B1852" s="21" t="s">
        <v>8</v>
      </c>
      <c r="C1852" s="15" t="str">
        <f>"20190116203"</f>
        <v>20190116203</v>
      </c>
      <c r="D1852" s="17" t="s">
        <v>12</v>
      </c>
    </row>
    <row r="1853" spans="1:4" ht="21.75" customHeight="1">
      <c r="A1853" s="20" t="s">
        <v>54</v>
      </c>
      <c r="B1853" s="21" t="s">
        <v>8</v>
      </c>
      <c r="C1853" s="15" t="str">
        <f>"20190116204"</f>
        <v>20190116204</v>
      </c>
      <c r="D1853" s="17">
        <v>63.5</v>
      </c>
    </row>
    <row r="1854" spans="1:4" ht="21.75" customHeight="1">
      <c r="A1854" s="20" t="s">
        <v>54</v>
      </c>
      <c r="B1854" s="21" t="s">
        <v>8</v>
      </c>
      <c r="C1854" s="15" t="str">
        <f>"20190116205"</f>
        <v>20190116205</v>
      </c>
      <c r="D1854" s="17">
        <v>51</v>
      </c>
    </row>
    <row r="1855" spans="1:4" ht="21.75" customHeight="1">
      <c r="A1855" s="20" t="s">
        <v>54</v>
      </c>
      <c r="B1855" s="21" t="s">
        <v>8</v>
      </c>
      <c r="C1855" s="15" t="str">
        <f>"20190116206"</f>
        <v>20190116206</v>
      </c>
      <c r="D1855" s="17">
        <v>64.5</v>
      </c>
    </row>
    <row r="1856" spans="1:4" ht="21.75" customHeight="1">
      <c r="A1856" s="20" t="s">
        <v>54</v>
      </c>
      <c r="B1856" s="21" t="s">
        <v>8</v>
      </c>
      <c r="C1856" s="15" t="str">
        <f>"20190116207"</f>
        <v>20190116207</v>
      </c>
      <c r="D1856" s="17">
        <v>65</v>
      </c>
    </row>
    <row r="1857" spans="1:4" ht="21.75" customHeight="1">
      <c r="A1857" s="20" t="s">
        <v>54</v>
      </c>
      <c r="B1857" s="21" t="s">
        <v>8</v>
      </c>
      <c r="C1857" s="15" t="str">
        <f>"20190116208"</f>
        <v>20190116208</v>
      </c>
      <c r="D1857" s="17">
        <v>52.5</v>
      </c>
    </row>
    <row r="1858" spans="1:4" ht="21.75" customHeight="1">
      <c r="A1858" s="20" t="s">
        <v>54</v>
      </c>
      <c r="B1858" s="21" t="s">
        <v>8</v>
      </c>
      <c r="C1858" s="15" t="str">
        <f>"20190116209"</f>
        <v>20190116209</v>
      </c>
      <c r="D1858" s="17">
        <v>65.5</v>
      </c>
    </row>
    <row r="1859" spans="1:4" ht="21.75" customHeight="1">
      <c r="A1859" s="20" t="s">
        <v>54</v>
      </c>
      <c r="B1859" s="21" t="s">
        <v>8</v>
      </c>
      <c r="C1859" s="15" t="str">
        <f>"20190116210"</f>
        <v>20190116210</v>
      </c>
      <c r="D1859" s="17" t="s">
        <v>12</v>
      </c>
    </row>
    <row r="1860" spans="1:4" ht="21.75" customHeight="1">
      <c r="A1860" s="20" t="s">
        <v>54</v>
      </c>
      <c r="B1860" s="21" t="s">
        <v>8</v>
      </c>
      <c r="C1860" s="15" t="str">
        <f>"20190116211"</f>
        <v>20190116211</v>
      </c>
      <c r="D1860" s="17">
        <v>61</v>
      </c>
    </row>
    <row r="1861" spans="1:4" ht="21.75" customHeight="1">
      <c r="A1861" s="20" t="s">
        <v>54</v>
      </c>
      <c r="B1861" s="21" t="s">
        <v>8</v>
      </c>
      <c r="C1861" s="15" t="str">
        <f>"20190116212"</f>
        <v>20190116212</v>
      </c>
      <c r="D1861" s="17">
        <v>59</v>
      </c>
    </row>
    <row r="1862" spans="1:4" ht="21.75" customHeight="1">
      <c r="A1862" s="20" t="s">
        <v>54</v>
      </c>
      <c r="B1862" s="21" t="s">
        <v>8</v>
      </c>
      <c r="C1862" s="15" t="str">
        <f>"20190116213"</f>
        <v>20190116213</v>
      </c>
      <c r="D1862" s="17">
        <v>56</v>
      </c>
    </row>
    <row r="1863" spans="1:4" ht="21.75" customHeight="1">
      <c r="A1863" s="20" t="s">
        <v>54</v>
      </c>
      <c r="B1863" s="21" t="s">
        <v>8</v>
      </c>
      <c r="C1863" s="15" t="str">
        <f>"20190116214"</f>
        <v>20190116214</v>
      </c>
      <c r="D1863" s="17">
        <v>60.5</v>
      </c>
    </row>
    <row r="1864" spans="1:4" ht="21.75" customHeight="1">
      <c r="A1864" s="20" t="s">
        <v>54</v>
      </c>
      <c r="B1864" s="21" t="s">
        <v>8</v>
      </c>
      <c r="C1864" s="15" t="str">
        <f>"20190116215"</f>
        <v>20190116215</v>
      </c>
      <c r="D1864" s="17" t="s">
        <v>12</v>
      </c>
    </row>
    <row r="1865" spans="1:4" ht="21.75" customHeight="1">
      <c r="A1865" s="20" t="s">
        <v>54</v>
      </c>
      <c r="B1865" s="21" t="s">
        <v>8</v>
      </c>
      <c r="C1865" s="15" t="str">
        <f>"20190116216"</f>
        <v>20190116216</v>
      </c>
      <c r="D1865" s="17">
        <v>58.5</v>
      </c>
    </row>
    <row r="1866" spans="1:4" ht="21.75" customHeight="1">
      <c r="A1866" s="20" t="s">
        <v>54</v>
      </c>
      <c r="B1866" s="21" t="s">
        <v>8</v>
      </c>
      <c r="C1866" s="15" t="str">
        <f>"20190116217"</f>
        <v>20190116217</v>
      </c>
      <c r="D1866" s="17">
        <v>66</v>
      </c>
    </row>
    <row r="1867" spans="1:4" ht="21.75" customHeight="1">
      <c r="A1867" s="20" t="s">
        <v>54</v>
      </c>
      <c r="B1867" s="21" t="s">
        <v>8</v>
      </c>
      <c r="C1867" s="15" t="str">
        <f>"20190116218"</f>
        <v>20190116218</v>
      </c>
      <c r="D1867" s="17">
        <v>54</v>
      </c>
    </row>
    <row r="1868" spans="1:4" ht="21.75" customHeight="1">
      <c r="A1868" s="20" t="s">
        <v>54</v>
      </c>
      <c r="B1868" s="21" t="s">
        <v>8</v>
      </c>
      <c r="C1868" s="15" t="str">
        <f>"20190116219"</f>
        <v>20190116219</v>
      </c>
      <c r="D1868" s="17" t="s">
        <v>12</v>
      </c>
    </row>
    <row r="1869" spans="1:4" ht="21.75" customHeight="1">
      <c r="A1869" s="20" t="s">
        <v>54</v>
      </c>
      <c r="B1869" s="21" t="s">
        <v>8</v>
      </c>
      <c r="C1869" s="15" t="str">
        <f>"20190116220"</f>
        <v>20190116220</v>
      </c>
      <c r="D1869" s="17">
        <v>55.5</v>
      </c>
    </row>
    <row r="1870" spans="1:4" ht="21.75" customHeight="1">
      <c r="A1870" s="20" t="s">
        <v>54</v>
      </c>
      <c r="B1870" s="21" t="s">
        <v>8</v>
      </c>
      <c r="C1870" s="15" t="str">
        <f>"20190116221"</f>
        <v>20190116221</v>
      </c>
      <c r="D1870" s="17">
        <v>64</v>
      </c>
    </row>
    <row r="1871" spans="1:4" ht="21.75" customHeight="1">
      <c r="A1871" s="20" t="s">
        <v>54</v>
      </c>
      <c r="B1871" s="21" t="s">
        <v>8</v>
      </c>
      <c r="C1871" s="15" t="str">
        <f>"20190116222"</f>
        <v>20190116222</v>
      </c>
      <c r="D1871" s="17">
        <v>61</v>
      </c>
    </row>
    <row r="1872" spans="1:4" ht="21.75" customHeight="1">
      <c r="A1872" s="20" t="s">
        <v>54</v>
      </c>
      <c r="B1872" s="21" t="s">
        <v>8</v>
      </c>
      <c r="C1872" s="15" t="str">
        <f>"20190116223"</f>
        <v>20190116223</v>
      </c>
      <c r="D1872" s="17">
        <v>61</v>
      </c>
    </row>
    <row r="1873" spans="1:4" ht="21.75" customHeight="1">
      <c r="A1873" s="20" t="s">
        <v>54</v>
      </c>
      <c r="B1873" s="21" t="s">
        <v>8</v>
      </c>
      <c r="C1873" s="15" t="str">
        <f>"20190116224"</f>
        <v>20190116224</v>
      </c>
      <c r="D1873" s="17">
        <v>54.5</v>
      </c>
    </row>
    <row r="1874" spans="1:5" ht="21.75" customHeight="1">
      <c r="A1874" s="20" t="s">
        <v>54</v>
      </c>
      <c r="B1874" s="21" t="s">
        <v>8</v>
      </c>
      <c r="C1874" s="15" t="str">
        <f>"20190116225"</f>
        <v>20190116225</v>
      </c>
      <c r="D1874" s="17">
        <v>78</v>
      </c>
      <c r="E1874" s="18" t="s">
        <v>9</v>
      </c>
    </row>
    <row r="1875" spans="1:4" ht="21.75" customHeight="1">
      <c r="A1875" s="20" t="s">
        <v>54</v>
      </c>
      <c r="B1875" s="21" t="s">
        <v>8</v>
      </c>
      <c r="C1875" s="15" t="str">
        <f>"20190116226"</f>
        <v>20190116226</v>
      </c>
      <c r="D1875" s="17">
        <v>61.5</v>
      </c>
    </row>
    <row r="1876" spans="1:4" ht="21.75" customHeight="1">
      <c r="A1876" s="20" t="s">
        <v>54</v>
      </c>
      <c r="B1876" s="21" t="s">
        <v>8</v>
      </c>
      <c r="C1876" s="15" t="str">
        <f>"20190116227"</f>
        <v>20190116227</v>
      </c>
      <c r="D1876" s="17">
        <v>54.5</v>
      </c>
    </row>
    <row r="1877" spans="1:4" ht="21.75" customHeight="1">
      <c r="A1877" s="20" t="s">
        <v>54</v>
      </c>
      <c r="B1877" s="21" t="s">
        <v>8</v>
      </c>
      <c r="C1877" s="15" t="str">
        <f>"20190116228"</f>
        <v>20190116228</v>
      </c>
      <c r="D1877" s="17">
        <v>58</v>
      </c>
    </row>
    <row r="1878" spans="1:4" ht="21.75" customHeight="1">
      <c r="A1878" s="20" t="s">
        <v>54</v>
      </c>
      <c r="B1878" s="21" t="s">
        <v>8</v>
      </c>
      <c r="C1878" s="15" t="str">
        <f>"20190116229"</f>
        <v>20190116229</v>
      </c>
      <c r="D1878" s="17" t="s">
        <v>12</v>
      </c>
    </row>
    <row r="1879" spans="1:4" ht="21.75" customHeight="1">
      <c r="A1879" s="20" t="s">
        <v>54</v>
      </c>
      <c r="B1879" s="21" t="s">
        <v>8</v>
      </c>
      <c r="C1879" s="15" t="str">
        <f>"20190116230"</f>
        <v>20190116230</v>
      </c>
      <c r="D1879" s="17">
        <v>64</v>
      </c>
    </row>
    <row r="1880" spans="1:4" ht="21.75" customHeight="1">
      <c r="A1880" s="20" t="s">
        <v>54</v>
      </c>
      <c r="B1880" s="21" t="s">
        <v>8</v>
      </c>
      <c r="C1880" s="15" t="str">
        <f>"20190116301"</f>
        <v>20190116301</v>
      </c>
      <c r="D1880" s="17">
        <v>59</v>
      </c>
    </row>
    <row r="1881" spans="1:4" ht="21.75" customHeight="1">
      <c r="A1881" s="20" t="s">
        <v>54</v>
      </c>
      <c r="B1881" s="21" t="s">
        <v>8</v>
      </c>
      <c r="C1881" s="15" t="str">
        <f>"20190116302"</f>
        <v>20190116302</v>
      </c>
      <c r="D1881" s="17">
        <v>58</v>
      </c>
    </row>
    <row r="1882" spans="1:4" ht="21.75" customHeight="1">
      <c r="A1882" s="20" t="s">
        <v>54</v>
      </c>
      <c r="B1882" s="21" t="s">
        <v>8</v>
      </c>
      <c r="C1882" s="15" t="str">
        <f>"20190116303"</f>
        <v>20190116303</v>
      </c>
      <c r="D1882" s="17">
        <v>53.5</v>
      </c>
    </row>
    <row r="1883" spans="1:4" ht="21.75" customHeight="1">
      <c r="A1883" s="20" t="s">
        <v>54</v>
      </c>
      <c r="B1883" s="21" t="s">
        <v>8</v>
      </c>
      <c r="C1883" s="15" t="str">
        <f>"20190116304"</f>
        <v>20190116304</v>
      </c>
      <c r="D1883" s="17">
        <v>62</v>
      </c>
    </row>
    <row r="1884" spans="1:4" ht="21.75" customHeight="1">
      <c r="A1884" s="20" t="s">
        <v>54</v>
      </c>
      <c r="B1884" s="21" t="s">
        <v>8</v>
      </c>
      <c r="C1884" s="15" t="str">
        <f>"20190116305"</f>
        <v>20190116305</v>
      </c>
      <c r="D1884" s="17">
        <v>68.5</v>
      </c>
    </row>
    <row r="1885" spans="1:4" ht="21.75" customHeight="1">
      <c r="A1885" s="20" t="s">
        <v>54</v>
      </c>
      <c r="B1885" s="21" t="s">
        <v>8</v>
      </c>
      <c r="C1885" s="15" t="str">
        <f>"20190116306"</f>
        <v>20190116306</v>
      </c>
      <c r="D1885" s="17">
        <v>60</v>
      </c>
    </row>
    <row r="1886" spans="1:4" ht="21.75" customHeight="1">
      <c r="A1886" s="20" t="s">
        <v>54</v>
      </c>
      <c r="B1886" s="21" t="s">
        <v>8</v>
      </c>
      <c r="C1886" s="15" t="str">
        <f>"20190116307"</f>
        <v>20190116307</v>
      </c>
      <c r="D1886" s="17" t="s">
        <v>12</v>
      </c>
    </row>
    <row r="1887" spans="1:4" ht="21.75" customHeight="1">
      <c r="A1887" s="20" t="s">
        <v>54</v>
      </c>
      <c r="B1887" s="21" t="s">
        <v>8</v>
      </c>
      <c r="C1887" s="15" t="str">
        <f>"20190116308"</f>
        <v>20190116308</v>
      </c>
      <c r="D1887" s="17">
        <v>65</v>
      </c>
    </row>
    <row r="1888" spans="1:4" ht="21.75" customHeight="1">
      <c r="A1888" s="20" t="s">
        <v>54</v>
      </c>
      <c r="B1888" s="21" t="s">
        <v>8</v>
      </c>
      <c r="C1888" s="15" t="str">
        <f>"20190116309"</f>
        <v>20190116309</v>
      </c>
      <c r="D1888" s="17">
        <v>65.5</v>
      </c>
    </row>
    <row r="1889" spans="1:4" ht="21.75" customHeight="1">
      <c r="A1889" s="20" t="s">
        <v>54</v>
      </c>
      <c r="B1889" s="21" t="s">
        <v>8</v>
      </c>
      <c r="C1889" s="15" t="str">
        <f>"20190116310"</f>
        <v>20190116310</v>
      </c>
      <c r="D1889" s="17">
        <v>65.5</v>
      </c>
    </row>
    <row r="1890" spans="1:4" ht="21.75" customHeight="1">
      <c r="A1890" s="20" t="s">
        <v>54</v>
      </c>
      <c r="B1890" s="21" t="s">
        <v>8</v>
      </c>
      <c r="C1890" s="15" t="str">
        <f>"20190116311"</f>
        <v>20190116311</v>
      </c>
      <c r="D1890" s="17">
        <v>70</v>
      </c>
    </row>
    <row r="1891" spans="1:4" ht="21.75" customHeight="1">
      <c r="A1891" s="20" t="s">
        <v>54</v>
      </c>
      <c r="B1891" s="21" t="s">
        <v>8</v>
      </c>
      <c r="C1891" s="15" t="str">
        <f>"20190116312"</f>
        <v>20190116312</v>
      </c>
      <c r="D1891" s="17">
        <v>52</v>
      </c>
    </row>
    <row r="1892" spans="1:4" ht="21.75" customHeight="1">
      <c r="A1892" s="20" t="s">
        <v>54</v>
      </c>
      <c r="B1892" s="21" t="s">
        <v>8</v>
      </c>
      <c r="C1892" s="15" t="str">
        <f>"20190116313"</f>
        <v>20190116313</v>
      </c>
      <c r="D1892" s="17" t="s">
        <v>12</v>
      </c>
    </row>
    <row r="1893" spans="1:4" ht="21.75" customHeight="1">
      <c r="A1893" s="20" t="s">
        <v>54</v>
      </c>
      <c r="B1893" s="21" t="s">
        <v>8</v>
      </c>
      <c r="C1893" s="15" t="str">
        <f>"20190116314"</f>
        <v>20190116314</v>
      </c>
      <c r="D1893" s="17">
        <v>57</v>
      </c>
    </row>
    <row r="1894" spans="1:4" ht="21.75" customHeight="1">
      <c r="A1894" s="20" t="s">
        <v>54</v>
      </c>
      <c r="B1894" s="21" t="s">
        <v>8</v>
      </c>
      <c r="C1894" s="15" t="str">
        <f>"20190116315"</f>
        <v>20190116315</v>
      </c>
      <c r="D1894" s="17" t="s">
        <v>12</v>
      </c>
    </row>
    <row r="1895" spans="1:4" ht="21.75" customHeight="1">
      <c r="A1895" s="20" t="s">
        <v>54</v>
      </c>
      <c r="B1895" s="21" t="s">
        <v>8</v>
      </c>
      <c r="C1895" s="15" t="str">
        <f>"20190116316"</f>
        <v>20190116316</v>
      </c>
      <c r="D1895" s="17">
        <v>58</v>
      </c>
    </row>
    <row r="1896" spans="1:4" ht="21.75" customHeight="1">
      <c r="A1896" s="20" t="s">
        <v>54</v>
      </c>
      <c r="B1896" s="21" t="s">
        <v>8</v>
      </c>
      <c r="C1896" s="15" t="str">
        <f>"20190116317"</f>
        <v>20190116317</v>
      </c>
      <c r="D1896" s="17">
        <v>69.5</v>
      </c>
    </row>
    <row r="1897" spans="1:4" ht="21.75" customHeight="1">
      <c r="A1897" s="20" t="s">
        <v>54</v>
      </c>
      <c r="B1897" s="21" t="s">
        <v>8</v>
      </c>
      <c r="C1897" s="15" t="str">
        <f>"20190116318"</f>
        <v>20190116318</v>
      </c>
      <c r="D1897" s="17">
        <v>57.5</v>
      </c>
    </row>
    <row r="1898" spans="1:4" ht="21.75" customHeight="1">
      <c r="A1898" s="20" t="s">
        <v>54</v>
      </c>
      <c r="B1898" s="21" t="s">
        <v>8</v>
      </c>
      <c r="C1898" s="15" t="str">
        <f>"20190116319"</f>
        <v>20190116319</v>
      </c>
      <c r="D1898" s="17">
        <v>52.5</v>
      </c>
    </row>
    <row r="1899" spans="1:4" ht="21.75" customHeight="1">
      <c r="A1899" s="20" t="s">
        <v>54</v>
      </c>
      <c r="B1899" s="21" t="s">
        <v>8</v>
      </c>
      <c r="C1899" s="15" t="str">
        <f>"20190116320"</f>
        <v>20190116320</v>
      </c>
      <c r="D1899" s="17">
        <v>61</v>
      </c>
    </row>
    <row r="1900" spans="1:4" ht="21.75" customHeight="1">
      <c r="A1900" s="20" t="s">
        <v>54</v>
      </c>
      <c r="B1900" s="21" t="s">
        <v>8</v>
      </c>
      <c r="C1900" s="15" t="str">
        <f>"20190116321"</f>
        <v>20190116321</v>
      </c>
      <c r="D1900" s="17">
        <v>60</v>
      </c>
    </row>
    <row r="1901" spans="1:4" ht="21.75" customHeight="1">
      <c r="A1901" s="20" t="s">
        <v>54</v>
      </c>
      <c r="B1901" s="21" t="s">
        <v>8</v>
      </c>
      <c r="C1901" s="15" t="str">
        <f>"20190116322"</f>
        <v>20190116322</v>
      </c>
      <c r="D1901" s="17">
        <v>56</v>
      </c>
    </row>
    <row r="1902" spans="1:4" ht="21.75" customHeight="1">
      <c r="A1902" s="20" t="s">
        <v>54</v>
      </c>
      <c r="B1902" s="21" t="s">
        <v>8</v>
      </c>
      <c r="C1902" s="15" t="str">
        <f>"20190116323"</f>
        <v>20190116323</v>
      </c>
      <c r="D1902" s="17">
        <v>49</v>
      </c>
    </row>
    <row r="1903" spans="1:4" ht="21.75" customHeight="1">
      <c r="A1903" s="20" t="s">
        <v>54</v>
      </c>
      <c r="B1903" s="21" t="s">
        <v>8</v>
      </c>
      <c r="C1903" s="15" t="str">
        <f>"20190116324"</f>
        <v>20190116324</v>
      </c>
      <c r="D1903" s="17">
        <v>59</v>
      </c>
    </row>
    <row r="1904" spans="1:4" ht="21.75" customHeight="1">
      <c r="A1904" s="20" t="s">
        <v>54</v>
      </c>
      <c r="B1904" s="21" t="s">
        <v>8</v>
      </c>
      <c r="C1904" s="15" t="str">
        <f>"20190116325"</f>
        <v>20190116325</v>
      </c>
      <c r="D1904" s="17">
        <v>68</v>
      </c>
    </row>
    <row r="1905" spans="1:4" ht="21.75" customHeight="1">
      <c r="A1905" s="20" t="s">
        <v>54</v>
      </c>
      <c r="B1905" s="21" t="s">
        <v>8</v>
      </c>
      <c r="C1905" s="15" t="str">
        <f>"20190116326"</f>
        <v>20190116326</v>
      </c>
      <c r="D1905" s="17" t="s">
        <v>12</v>
      </c>
    </row>
    <row r="1906" spans="1:5" ht="21.75" customHeight="1">
      <c r="A1906" s="20" t="s">
        <v>54</v>
      </c>
      <c r="B1906" s="21" t="s">
        <v>8</v>
      </c>
      <c r="C1906" s="15" t="str">
        <f>"20190116327"</f>
        <v>20190116327</v>
      </c>
      <c r="D1906" s="17">
        <v>73</v>
      </c>
      <c r="E1906" s="18" t="s">
        <v>9</v>
      </c>
    </row>
    <row r="1907" spans="1:4" ht="21.75" customHeight="1">
      <c r="A1907" s="20" t="s">
        <v>54</v>
      </c>
      <c r="B1907" s="21" t="s">
        <v>8</v>
      </c>
      <c r="C1907" s="15" t="str">
        <f>"20190116328"</f>
        <v>20190116328</v>
      </c>
      <c r="D1907" s="17" t="s">
        <v>12</v>
      </c>
    </row>
    <row r="1908" spans="1:4" ht="21.75" customHeight="1">
      <c r="A1908" s="20" t="s">
        <v>54</v>
      </c>
      <c r="B1908" s="21" t="s">
        <v>8</v>
      </c>
      <c r="C1908" s="15" t="str">
        <f>"20190116329"</f>
        <v>20190116329</v>
      </c>
      <c r="D1908" s="17">
        <v>62.5</v>
      </c>
    </row>
    <row r="1909" spans="1:4" ht="21.75" customHeight="1">
      <c r="A1909" s="20" t="s">
        <v>54</v>
      </c>
      <c r="B1909" s="21" t="s">
        <v>8</v>
      </c>
      <c r="C1909" s="15" t="str">
        <f>"20190116330"</f>
        <v>20190116330</v>
      </c>
      <c r="D1909" s="17">
        <v>56</v>
      </c>
    </row>
    <row r="1910" spans="1:4" ht="21.75" customHeight="1">
      <c r="A1910" s="20" t="s">
        <v>54</v>
      </c>
      <c r="B1910" s="21" t="s">
        <v>8</v>
      </c>
      <c r="C1910" s="15" t="str">
        <f>"20190116401"</f>
        <v>20190116401</v>
      </c>
      <c r="D1910" s="17">
        <v>50</v>
      </c>
    </row>
    <row r="1911" spans="1:4" ht="21.75" customHeight="1">
      <c r="A1911" s="20" t="s">
        <v>54</v>
      </c>
      <c r="B1911" s="21" t="s">
        <v>8</v>
      </c>
      <c r="C1911" s="15" t="str">
        <f>"20190116402"</f>
        <v>20190116402</v>
      </c>
      <c r="D1911" s="17">
        <v>61</v>
      </c>
    </row>
    <row r="1912" spans="1:4" ht="21.75" customHeight="1">
      <c r="A1912" s="20" t="s">
        <v>54</v>
      </c>
      <c r="B1912" s="21" t="s">
        <v>8</v>
      </c>
      <c r="C1912" s="15" t="str">
        <f>"20190116403"</f>
        <v>20190116403</v>
      </c>
      <c r="D1912" s="17">
        <v>51</v>
      </c>
    </row>
    <row r="1913" spans="1:4" ht="21.75" customHeight="1">
      <c r="A1913" s="20" t="s">
        <v>54</v>
      </c>
      <c r="B1913" s="21" t="s">
        <v>8</v>
      </c>
      <c r="C1913" s="15" t="str">
        <f>"20190116404"</f>
        <v>20190116404</v>
      </c>
      <c r="D1913" s="17">
        <v>64.5</v>
      </c>
    </row>
    <row r="1914" spans="1:4" ht="21.75" customHeight="1">
      <c r="A1914" s="20" t="s">
        <v>54</v>
      </c>
      <c r="B1914" s="21" t="s">
        <v>8</v>
      </c>
      <c r="C1914" s="15" t="str">
        <f>"20190116405"</f>
        <v>20190116405</v>
      </c>
      <c r="D1914" s="17">
        <v>58.5</v>
      </c>
    </row>
    <row r="1915" spans="1:4" ht="21.75" customHeight="1">
      <c r="A1915" s="20" t="s">
        <v>54</v>
      </c>
      <c r="B1915" s="21" t="s">
        <v>8</v>
      </c>
      <c r="C1915" s="15" t="str">
        <f>"20190116406"</f>
        <v>20190116406</v>
      </c>
      <c r="D1915" s="17">
        <v>62.5</v>
      </c>
    </row>
    <row r="1916" spans="1:4" ht="21.75" customHeight="1">
      <c r="A1916" s="20" t="s">
        <v>54</v>
      </c>
      <c r="B1916" s="21" t="s">
        <v>8</v>
      </c>
      <c r="C1916" s="15" t="str">
        <f>"20190116407"</f>
        <v>20190116407</v>
      </c>
      <c r="D1916" s="17" t="s">
        <v>12</v>
      </c>
    </row>
    <row r="1917" spans="1:4" ht="21.75" customHeight="1">
      <c r="A1917" s="20" t="s">
        <v>54</v>
      </c>
      <c r="B1917" s="21" t="s">
        <v>8</v>
      </c>
      <c r="C1917" s="15" t="str">
        <f>"20190116408"</f>
        <v>20190116408</v>
      </c>
      <c r="D1917" s="17" t="s">
        <v>12</v>
      </c>
    </row>
    <row r="1918" spans="1:4" ht="21.75" customHeight="1">
      <c r="A1918" s="20" t="s">
        <v>54</v>
      </c>
      <c r="B1918" s="21" t="s">
        <v>8</v>
      </c>
      <c r="C1918" s="15" t="str">
        <f>"20190116409"</f>
        <v>20190116409</v>
      </c>
      <c r="D1918" s="17">
        <v>52.5</v>
      </c>
    </row>
    <row r="1919" spans="1:4" ht="21.75" customHeight="1">
      <c r="A1919" s="20" t="s">
        <v>54</v>
      </c>
      <c r="B1919" s="21" t="s">
        <v>8</v>
      </c>
      <c r="C1919" s="15" t="str">
        <f>"20190116410"</f>
        <v>20190116410</v>
      </c>
      <c r="D1919" s="17">
        <v>67</v>
      </c>
    </row>
    <row r="1920" spans="1:4" ht="21.75" customHeight="1">
      <c r="A1920" s="20" t="s">
        <v>54</v>
      </c>
      <c r="B1920" s="21" t="s">
        <v>8</v>
      </c>
      <c r="C1920" s="15" t="str">
        <f>"20190116411"</f>
        <v>20190116411</v>
      </c>
      <c r="D1920" s="17">
        <v>70</v>
      </c>
    </row>
    <row r="1921" spans="1:4" ht="21.75" customHeight="1">
      <c r="A1921" s="20" t="s">
        <v>54</v>
      </c>
      <c r="B1921" s="21" t="s">
        <v>8</v>
      </c>
      <c r="C1921" s="15" t="str">
        <f>"20190116412"</f>
        <v>20190116412</v>
      </c>
      <c r="D1921" s="17">
        <v>61.5</v>
      </c>
    </row>
    <row r="1922" spans="1:4" ht="21.75" customHeight="1">
      <c r="A1922" s="20" t="s">
        <v>54</v>
      </c>
      <c r="B1922" s="21" t="s">
        <v>8</v>
      </c>
      <c r="C1922" s="15" t="str">
        <f>"20190116413"</f>
        <v>20190116413</v>
      </c>
      <c r="D1922" s="17">
        <v>58.5</v>
      </c>
    </row>
    <row r="1923" spans="1:4" ht="21.75" customHeight="1">
      <c r="A1923" s="20" t="s">
        <v>54</v>
      </c>
      <c r="B1923" s="21" t="s">
        <v>8</v>
      </c>
      <c r="C1923" s="15" t="str">
        <f>"20190116414"</f>
        <v>20190116414</v>
      </c>
      <c r="D1923" s="17" t="s">
        <v>12</v>
      </c>
    </row>
    <row r="1924" spans="1:4" ht="21.75" customHeight="1">
      <c r="A1924" s="20" t="s">
        <v>54</v>
      </c>
      <c r="B1924" s="21" t="s">
        <v>8</v>
      </c>
      <c r="C1924" s="15" t="str">
        <f>"20190116415"</f>
        <v>20190116415</v>
      </c>
      <c r="D1924" s="17">
        <v>65.5</v>
      </c>
    </row>
    <row r="1925" spans="1:4" ht="21.75" customHeight="1">
      <c r="A1925" s="20" t="s">
        <v>54</v>
      </c>
      <c r="B1925" s="21" t="s">
        <v>8</v>
      </c>
      <c r="C1925" s="15" t="str">
        <f>"20190116416"</f>
        <v>20190116416</v>
      </c>
      <c r="D1925" s="17">
        <v>68</v>
      </c>
    </row>
    <row r="1926" spans="1:4" ht="21.75" customHeight="1">
      <c r="A1926" s="20" t="s">
        <v>54</v>
      </c>
      <c r="B1926" s="21" t="s">
        <v>8</v>
      </c>
      <c r="C1926" s="15" t="str">
        <f>"20190116417"</f>
        <v>20190116417</v>
      </c>
      <c r="D1926" s="17">
        <v>58</v>
      </c>
    </row>
    <row r="1927" spans="1:4" ht="21.75" customHeight="1">
      <c r="A1927" s="20" t="s">
        <v>54</v>
      </c>
      <c r="B1927" s="21" t="s">
        <v>8</v>
      </c>
      <c r="C1927" s="15" t="str">
        <f>"20190116418"</f>
        <v>20190116418</v>
      </c>
      <c r="D1927" s="17">
        <v>53</v>
      </c>
    </row>
    <row r="1928" spans="1:4" ht="21.75" customHeight="1">
      <c r="A1928" s="20" t="s">
        <v>54</v>
      </c>
      <c r="B1928" s="21" t="s">
        <v>8</v>
      </c>
      <c r="C1928" s="15" t="str">
        <f>"20190116419"</f>
        <v>20190116419</v>
      </c>
      <c r="D1928" s="17">
        <v>61.5</v>
      </c>
    </row>
    <row r="1929" spans="1:4" ht="21.75" customHeight="1">
      <c r="A1929" s="20" t="s">
        <v>54</v>
      </c>
      <c r="B1929" s="21" t="s">
        <v>8</v>
      </c>
      <c r="C1929" s="15" t="str">
        <f>"20190116420"</f>
        <v>20190116420</v>
      </c>
      <c r="D1929" s="17">
        <v>63.5</v>
      </c>
    </row>
    <row r="1930" spans="1:4" ht="21.75" customHeight="1">
      <c r="A1930" s="20" t="s">
        <v>54</v>
      </c>
      <c r="B1930" s="21" t="s">
        <v>8</v>
      </c>
      <c r="C1930" s="15" t="str">
        <f>"20190116421"</f>
        <v>20190116421</v>
      </c>
      <c r="D1930" s="17">
        <v>60.5</v>
      </c>
    </row>
    <row r="1931" spans="1:4" ht="21.75" customHeight="1">
      <c r="A1931" s="20" t="s">
        <v>54</v>
      </c>
      <c r="B1931" s="21" t="s">
        <v>8</v>
      </c>
      <c r="C1931" s="15" t="str">
        <f>"20190116422"</f>
        <v>20190116422</v>
      </c>
      <c r="D1931" s="17">
        <v>63.5</v>
      </c>
    </row>
    <row r="1932" spans="1:4" ht="21.75" customHeight="1">
      <c r="A1932" s="20" t="s">
        <v>54</v>
      </c>
      <c r="B1932" s="21" t="s">
        <v>8</v>
      </c>
      <c r="C1932" s="15" t="str">
        <f>"20190116423"</f>
        <v>20190116423</v>
      </c>
      <c r="D1932" s="17">
        <v>64.5</v>
      </c>
    </row>
    <row r="1933" spans="1:4" ht="21.75" customHeight="1">
      <c r="A1933" s="20" t="s">
        <v>54</v>
      </c>
      <c r="B1933" s="21" t="s">
        <v>8</v>
      </c>
      <c r="C1933" s="15" t="str">
        <f>"20190116424"</f>
        <v>20190116424</v>
      </c>
      <c r="D1933" s="17">
        <v>51</v>
      </c>
    </row>
    <row r="1934" spans="1:4" ht="21.75" customHeight="1">
      <c r="A1934" s="20" t="s">
        <v>54</v>
      </c>
      <c r="B1934" s="21" t="s">
        <v>8</v>
      </c>
      <c r="C1934" s="15" t="str">
        <f>"20190116425"</f>
        <v>20190116425</v>
      </c>
      <c r="D1934" s="17">
        <v>60</v>
      </c>
    </row>
    <row r="1935" spans="1:4" ht="21.75" customHeight="1">
      <c r="A1935" s="20" t="s">
        <v>54</v>
      </c>
      <c r="B1935" s="21" t="s">
        <v>8</v>
      </c>
      <c r="C1935" s="15" t="str">
        <f>"20190116426"</f>
        <v>20190116426</v>
      </c>
      <c r="D1935" s="17">
        <v>66</v>
      </c>
    </row>
    <row r="1936" spans="1:4" ht="21.75" customHeight="1">
      <c r="A1936" s="20" t="s">
        <v>54</v>
      </c>
      <c r="B1936" s="21" t="s">
        <v>8</v>
      </c>
      <c r="C1936" s="15" t="str">
        <f>"20190116427"</f>
        <v>20190116427</v>
      </c>
      <c r="D1936" s="17" t="s">
        <v>12</v>
      </c>
    </row>
    <row r="1937" spans="1:4" ht="21.75" customHeight="1">
      <c r="A1937" s="20" t="s">
        <v>54</v>
      </c>
      <c r="B1937" s="21" t="s">
        <v>8</v>
      </c>
      <c r="C1937" s="15" t="str">
        <f>"20190116428"</f>
        <v>20190116428</v>
      </c>
      <c r="D1937" s="17">
        <v>56</v>
      </c>
    </row>
    <row r="1938" spans="1:4" ht="21.75" customHeight="1">
      <c r="A1938" s="20" t="s">
        <v>54</v>
      </c>
      <c r="B1938" s="21" t="s">
        <v>8</v>
      </c>
      <c r="C1938" s="15" t="str">
        <f>"20190116429"</f>
        <v>20190116429</v>
      </c>
      <c r="D1938" s="17">
        <v>58.5</v>
      </c>
    </row>
    <row r="1939" spans="1:4" ht="21.75" customHeight="1">
      <c r="A1939" s="20" t="s">
        <v>54</v>
      </c>
      <c r="B1939" s="21" t="s">
        <v>8</v>
      </c>
      <c r="C1939" s="15" t="str">
        <f>"20190116430"</f>
        <v>20190116430</v>
      </c>
      <c r="D1939" s="17">
        <v>61.5</v>
      </c>
    </row>
    <row r="1940" spans="1:4" ht="21.75" customHeight="1">
      <c r="A1940" s="20" t="s">
        <v>54</v>
      </c>
      <c r="B1940" s="21" t="s">
        <v>8</v>
      </c>
      <c r="C1940" s="15" t="str">
        <f>"20190116501"</f>
        <v>20190116501</v>
      </c>
      <c r="D1940" s="17">
        <v>51.5</v>
      </c>
    </row>
    <row r="1941" spans="1:4" ht="21.75" customHeight="1">
      <c r="A1941" s="20" t="s">
        <v>54</v>
      </c>
      <c r="B1941" s="21" t="s">
        <v>8</v>
      </c>
      <c r="C1941" s="15" t="str">
        <f>"20190116502"</f>
        <v>20190116502</v>
      </c>
      <c r="D1941" s="17" t="s">
        <v>12</v>
      </c>
    </row>
    <row r="1942" spans="1:4" ht="21.75" customHeight="1">
      <c r="A1942" s="20" t="s">
        <v>54</v>
      </c>
      <c r="B1942" s="21" t="s">
        <v>8</v>
      </c>
      <c r="C1942" s="15" t="str">
        <f>"20190116503"</f>
        <v>20190116503</v>
      </c>
      <c r="D1942" s="17">
        <v>65.5</v>
      </c>
    </row>
    <row r="1943" spans="1:4" ht="21.75" customHeight="1">
      <c r="A1943" s="20" t="s">
        <v>54</v>
      </c>
      <c r="B1943" s="21" t="s">
        <v>8</v>
      </c>
      <c r="C1943" s="15" t="str">
        <f>"20190116504"</f>
        <v>20190116504</v>
      </c>
      <c r="D1943" s="17">
        <v>57</v>
      </c>
    </row>
    <row r="1944" spans="1:4" ht="21.75" customHeight="1">
      <c r="A1944" s="20" t="s">
        <v>54</v>
      </c>
      <c r="B1944" s="21" t="s">
        <v>8</v>
      </c>
      <c r="C1944" s="15" t="str">
        <f>"20190116505"</f>
        <v>20190116505</v>
      </c>
      <c r="D1944" s="17">
        <v>69</v>
      </c>
    </row>
    <row r="1945" spans="1:5" ht="21.75" customHeight="1">
      <c r="A1945" s="20" t="s">
        <v>54</v>
      </c>
      <c r="B1945" s="21" t="s">
        <v>8</v>
      </c>
      <c r="C1945" s="15" t="str">
        <f>"20190116506"</f>
        <v>20190116506</v>
      </c>
      <c r="D1945" s="17">
        <v>76.5</v>
      </c>
      <c r="E1945" s="18" t="s">
        <v>9</v>
      </c>
    </row>
    <row r="1946" spans="1:4" ht="21.75" customHeight="1">
      <c r="A1946" s="20" t="s">
        <v>54</v>
      </c>
      <c r="B1946" s="21" t="s">
        <v>8</v>
      </c>
      <c r="C1946" s="15" t="str">
        <f>"20190116507"</f>
        <v>20190116507</v>
      </c>
      <c r="D1946" s="17">
        <v>57.5</v>
      </c>
    </row>
    <row r="1947" spans="1:4" ht="21.75" customHeight="1">
      <c r="A1947" s="20" t="s">
        <v>54</v>
      </c>
      <c r="B1947" s="21" t="s">
        <v>8</v>
      </c>
      <c r="C1947" s="15" t="str">
        <f>"20190116508"</f>
        <v>20190116508</v>
      </c>
      <c r="D1947" s="17">
        <v>55</v>
      </c>
    </row>
    <row r="1948" spans="1:4" ht="21.75" customHeight="1">
      <c r="A1948" s="20" t="s">
        <v>54</v>
      </c>
      <c r="B1948" s="21" t="s">
        <v>8</v>
      </c>
      <c r="C1948" s="15" t="str">
        <f>"20190116509"</f>
        <v>20190116509</v>
      </c>
      <c r="D1948" s="17">
        <v>59</v>
      </c>
    </row>
    <row r="1949" spans="1:4" ht="21.75" customHeight="1">
      <c r="A1949" s="20" t="s">
        <v>54</v>
      </c>
      <c r="B1949" s="21" t="s">
        <v>8</v>
      </c>
      <c r="C1949" s="15" t="str">
        <f>"20190116510"</f>
        <v>20190116510</v>
      </c>
      <c r="D1949" s="17" t="s">
        <v>12</v>
      </c>
    </row>
    <row r="1950" spans="1:4" ht="21.75" customHeight="1">
      <c r="A1950" s="20" t="s">
        <v>54</v>
      </c>
      <c r="B1950" s="21" t="s">
        <v>8</v>
      </c>
      <c r="C1950" s="15" t="str">
        <f>"20190116511"</f>
        <v>20190116511</v>
      </c>
      <c r="D1950" s="17">
        <v>55.5</v>
      </c>
    </row>
    <row r="1951" spans="1:4" ht="21.75" customHeight="1">
      <c r="A1951" s="20" t="s">
        <v>54</v>
      </c>
      <c r="B1951" s="21" t="s">
        <v>8</v>
      </c>
      <c r="C1951" s="15" t="str">
        <f>"20190116512"</f>
        <v>20190116512</v>
      </c>
      <c r="D1951" s="17" t="s">
        <v>12</v>
      </c>
    </row>
    <row r="1952" spans="1:4" ht="21.75" customHeight="1">
      <c r="A1952" s="20" t="s">
        <v>54</v>
      </c>
      <c r="B1952" s="21" t="s">
        <v>8</v>
      </c>
      <c r="C1952" s="15" t="str">
        <f>"20190116513"</f>
        <v>20190116513</v>
      </c>
      <c r="D1952" s="17">
        <v>59.5</v>
      </c>
    </row>
    <row r="1953" spans="1:4" ht="21.75" customHeight="1">
      <c r="A1953" s="20" t="s">
        <v>54</v>
      </c>
      <c r="B1953" s="21" t="s">
        <v>8</v>
      </c>
      <c r="C1953" s="15" t="str">
        <f>"20190116514"</f>
        <v>20190116514</v>
      </c>
      <c r="D1953" s="17" t="s">
        <v>12</v>
      </c>
    </row>
    <row r="1954" spans="1:4" ht="21.75" customHeight="1">
      <c r="A1954" s="15" t="s">
        <v>55</v>
      </c>
      <c r="B1954" s="16" t="s">
        <v>36</v>
      </c>
      <c r="C1954" s="15" t="str">
        <f>"20190116515"</f>
        <v>20190116515</v>
      </c>
      <c r="D1954" s="17">
        <v>67</v>
      </c>
    </row>
    <row r="1955" spans="1:4" ht="21.75" customHeight="1">
      <c r="A1955" s="15" t="s">
        <v>55</v>
      </c>
      <c r="B1955" s="16" t="s">
        <v>36</v>
      </c>
      <c r="C1955" s="15" t="str">
        <f>"20190116516"</f>
        <v>20190116516</v>
      </c>
      <c r="D1955" s="17" t="s">
        <v>12</v>
      </c>
    </row>
    <row r="1956" spans="1:4" ht="21.75" customHeight="1">
      <c r="A1956" s="15" t="s">
        <v>55</v>
      </c>
      <c r="B1956" s="16" t="s">
        <v>36</v>
      </c>
      <c r="C1956" s="15" t="str">
        <f>"20190116517"</f>
        <v>20190116517</v>
      </c>
      <c r="D1956" s="17" t="s">
        <v>12</v>
      </c>
    </row>
    <row r="1957" spans="1:4" ht="21.75" customHeight="1">
      <c r="A1957" s="15" t="s">
        <v>55</v>
      </c>
      <c r="B1957" s="16" t="s">
        <v>36</v>
      </c>
      <c r="C1957" s="15" t="str">
        <f>"20190116518"</f>
        <v>20190116518</v>
      </c>
      <c r="D1957" s="17" t="s">
        <v>12</v>
      </c>
    </row>
    <row r="1958" spans="1:4" ht="21.75" customHeight="1">
      <c r="A1958" s="15" t="s">
        <v>55</v>
      </c>
      <c r="B1958" s="16" t="s">
        <v>36</v>
      </c>
      <c r="C1958" s="15" t="str">
        <f>"20190116519"</f>
        <v>20190116519</v>
      </c>
      <c r="D1958" s="17">
        <v>59.5</v>
      </c>
    </row>
    <row r="1959" spans="1:4" ht="21.75" customHeight="1">
      <c r="A1959" s="15" t="s">
        <v>55</v>
      </c>
      <c r="B1959" s="16" t="s">
        <v>36</v>
      </c>
      <c r="C1959" s="15" t="str">
        <f>"20190116520"</f>
        <v>20190116520</v>
      </c>
      <c r="D1959" s="17" t="s">
        <v>12</v>
      </c>
    </row>
    <row r="1960" spans="1:5" ht="21.75" customHeight="1">
      <c r="A1960" s="15" t="s">
        <v>55</v>
      </c>
      <c r="B1960" s="16" t="s">
        <v>36</v>
      </c>
      <c r="C1960" s="15" t="str">
        <f>"20190116521"</f>
        <v>20190116521</v>
      </c>
      <c r="D1960" s="17">
        <v>68</v>
      </c>
      <c r="E1960" s="18" t="s">
        <v>9</v>
      </c>
    </row>
    <row r="1961" spans="1:4" ht="21.75" customHeight="1">
      <c r="A1961" s="15" t="s">
        <v>55</v>
      </c>
      <c r="B1961" s="16" t="s">
        <v>36</v>
      </c>
      <c r="C1961" s="15" t="str">
        <f>"20190116522"</f>
        <v>20190116522</v>
      </c>
      <c r="D1961" s="17">
        <v>52.5</v>
      </c>
    </row>
    <row r="1962" spans="1:4" ht="21.75" customHeight="1">
      <c r="A1962" s="15" t="s">
        <v>55</v>
      </c>
      <c r="B1962" s="16" t="s">
        <v>36</v>
      </c>
      <c r="C1962" s="15" t="str">
        <f>"20190116523"</f>
        <v>20190116523</v>
      </c>
      <c r="D1962" s="17">
        <v>62</v>
      </c>
    </row>
    <row r="1963" spans="1:4" ht="21.75" customHeight="1">
      <c r="A1963" s="15" t="s">
        <v>55</v>
      </c>
      <c r="B1963" s="16" t="s">
        <v>36</v>
      </c>
      <c r="C1963" s="15" t="str">
        <f>"20190116524"</f>
        <v>20190116524</v>
      </c>
      <c r="D1963" s="17" t="s">
        <v>12</v>
      </c>
    </row>
    <row r="1964" spans="1:4" ht="21.75" customHeight="1">
      <c r="A1964" s="15" t="s">
        <v>55</v>
      </c>
      <c r="B1964" s="16" t="s">
        <v>36</v>
      </c>
      <c r="C1964" s="15" t="str">
        <f>"20190116525"</f>
        <v>20190116525</v>
      </c>
      <c r="D1964" s="17">
        <v>62.5</v>
      </c>
    </row>
    <row r="1965" spans="1:4" ht="21.75" customHeight="1">
      <c r="A1965" s="15" t="s">
        <v>55</v>
      </c>
      <c r="B1965" s="16" t="s">
        <v>36</v>
      </c>
      <c r="C1965" s="15" t="str">
        <f>"20190116526"</f>
        <v>20190116526</v>
      </c>
      <c r="D1965" s="17">
        <v>58</v>
      </c>
    </row>
    <row r="1966" spans="1:4" ht="21.75" customHeight="1">
      <c r="A1966" s="15" t="s">
        <v>55</v>
      </c>
      <c r="B1966" s="16" t="s">
        <v>36</v>
      </c>
      <c r="C1966" s="15" t="str">
        <f>"20190116527"</f>
        <v>20190116527</v>
      </c>
      <c r="D1966" s="17">
        <v>59.5</v>
      </c>
    </row>
    <row r="1967" spans="1:4" ht="21.75" customHeight="1">
      <c r="A1967" s="15" t="s">
        <v>55</v>
      </c>
      <c r="B1967" s="16" t="s">
        <v>36</v>
      </c>
      <c r="C1967" s="15" t="str">
        <f>"20190116528"</f>
        <v>20190116528</v>
      </c>
      <c r="D1967" s="17">
        <v>66.5</v>
      </c>
    </row>
    <row r="1968" spans="1:4" ht="21.75" customHeight="1">
      <c r="A1968" s="15" t="s">
        <v>55</v>
      </c>
      <c r="B1968" s="16" t="s">
        <v>36</v>
      </c>
      <c r="C1968" s="15" t="str">
        <f>"20190116529"</f>
        <v>20190116529</v>
      </c>
      <c r="D1968" s="17" t="s">
        <v>12</v>
      </c>
    </row>
    <row r="1969" spans="1:4" ht="21.75" customHeight="1">
      <c r="A1969" s="15" t="s">
        <v>55</v>
      </c>
      <c r="B1969" s="16" t="s">
        <v>36</v>
      </c>
      <c r="C1969" s="15" t="str">
        <f>"20190116530"</f>
        <v>20190116530</v>
      </c>
      <c r="D1969" s="17">
        <v>51.5</v>
      </c>
    </row>
    <row r="1970" spans="1:4" ht="21.75" customHeight="1">
      <c r="A1970" s="15" t="s">
        <v>55</v>
      </c>
      <c r="B1970" s="16" t="s">
        <v>36</v>
      </c>
      <c r="C1970" s="15" t="str">
        <f>"20190116601"</f>
        <v>20190116601</v>
      </c>
      <c r="D1970" s="17">
        <v>54.5</v>
      </c>
    </row>
    <row r="1971" spans="1:4" ht="21.75" customHeight="1">
      <c r="A1971" s="15" t="s">
        <v>55</v>
      </c>
      <c r="B1971" s="16" t="s">
        <v>36</v>
      </c>
      <c r="C1971" s="15" t="str">
        <f>"20190116602"</f>
        <v>20190116602</v>
      </c>
      <c r="D1971" s="17">
        <v>50</v>
      </c>
    </row>
    <row r="1972" spans="1:4" ht="21.75" customHeight="1">
      <c r="A1972" s="15" t="s">
        <v>55</v>
      </c>
      <c r="B1972" s="16" t="s">
        <v>36</v>
      </c>
      <c r="C1972" s="15" t="str">
        <f>"20190116603"</f>
        <v>20190116603</v>
      </c>
      <c r="D1972" s="17" t="s">
        <v>12</v>
      </c>
    </row>
    <row r="1973" spans="1:4" ht="21.75" customHeight="1">
      <c r="A1973" s="15" t="s">
        <v>55</v>
      </c>
      <c r="B1973" s="16" t="s">
        <v>36</v>
      </c>
      <c r="C1973" s="15" t="str">
        <f>"20190116604"</f>
        <v>20190116604</v>
      </c>
      <c r="D1973" s="17">
        <v>57</v>
      </c>
    </row>
    <row r="1974" spans="1:4" ht="21.75" customHeight="1">
      <c r="A1974" s="15" t="s">
        <v>55</v>
      </c>
      <c r="B1974" s="16" t="s">
        <v>36</v>
      </c>
      <c r="C1974" s="15" t="str">
        <f>"20190116605"</f>
        <v>20190116605</v>
      </c>
      <c r="D1974" s="17">
        <v>60.5</v>
      </c>
    </row>
    <row r="1975" spans="1:4" ht="21.75" customHeight="1">
      <c r="A1975" s="15" t="s">
        <v>55</v>
      </c>
      <c r="B1975" s="16" t="s">
        <v>36</v>
      </c>
      <c r="C1975" s="15" t="str">
        <f>"20190116606"</f>
        <v>20190116606</v>
      </c>
      <c r="D1975" s="17">
        <v>57.5</v>
      </c>
    </row>
    <row r="1976" spans="1:4" ht="21.75" customHeight="1">
      <c r="A1976" s="15" t="s">
        <v>55</v>
      </c>
      <c r="B1976" s="16" t="s">
        <v>36</v>
      </c>
      <c r="C1976" s="15" t="str">
        <f>"20190116607"</f>
        <v>20190116607</v>
      </c>
      <c r="D1976" s="17">
        <v>58</v>
      </c>
    </row>
    <row r="1977" spans="1:5" ht="21.75" customHeight="1">
      <c r="A1977" s="15" t="s">
        <v>55</v>
      </c>
      <c r="B1977" s="16" t="s">
        <v>36</v>
      </c>
      <c r="C1977" s="15" t="str">
        <f>"20190116608"</f>
        <v>20190116608</v>
      </c>
      <c r="D1977" s="17">
        <v>69.5</v>
      </c>
      <c r="E1977" s="18" t="s">
        <v>9</v>
      </c>
    </row>
    <row r="1978" spans="1:4" ht="21.75" customHeight="1">
      <c r="A1978" s="15" t="s">
        <v>55</v>
      </c>
      <c r="B1978" s="16" t="s">
        <v>36</v>
      </c>
      <c r="C1978" s="15" t="str">
        <f>"20190116609"</f>
        <v>20190116609</v>
      </c>
      <c r="D1978" s="17">
        <v>62.5</v>
      </c>
    </row>
    <row r="1979" spans="1:4" ht="21.75" customHeight="1">
      <c r="A1979" s="15" t="s">
        <v>55</v>
      </c>
      <c r="B1979" s="16" t="s">
        <v>36</v>
      </c>
      <c r="C1979" s="15" t="str">
        <f>"20190116610"</f>
        <v>20190116610</v>
      </c>
      <c r="D1979" s="17">
        <v>64.5</v>
      </c>
    </row>
    <row r="1980" spans="1:4" ht="21.75" customHeight="1">
      <c r="A1980" s="15" t="s">
        <v>55</v>
      </c>
      <c r="B1980" s="16" t="s">
        <v>36</v>
      </c>
      <c r="C1980" s="15" t="str">
        <f>"20190116611"</f>
        <v>20190116611</v>
      </c>
      <c r="D1980" s="17">
        <v>62.5</v>
      </c>
    </row>
    <row r="1981" spans="1:5" ht="21.75" customHeight="1">
      <c r="A1981" s="15" t="s">
        <v>55</v>
      </c>
      <c r="B1981" s="16" t="s">
        <v>36</v>
      </c>
      <c r="C1981" s="15" t="str">
        <f>"20190116612"</f>
        <v>20190116612</v>
      </c>
      <c r="D1981" s="17">
        <v>70.5</v>
      </c>
      <c r="E1981" s="18" t="s">
        <v>9</v>
      </c>
    </row>
    <row r="1982" spans="1:4" ht="21.75" customHeight="1">
      <c r="A1982" s="15" t="s">
        <v>55</v>
      </c>
      <c r="B1982" s="16" t="s">
        <v>36</v>
      </c>
      <c r="C1982" s="15" t="str">
        <f>"20190116613"</f>
        <v>20190116613</v>
      </c>
      <c r="D1982" s="17">
        <v>58.5</v>
      </c>
    </row>
    <row r="1983" spans="1:4" ht="21.75" customHeight="1">
      <c r="A1983" s="15" t="s">
        <v>55</v>
      </c>
      <c r="B1983" s="16" t="s">
        <v>36</v>
      </c>
      <c r="C1983" s="15" t="str">
        <f>"20190116614"</f>
        <v>20190116614</v>
      </c>
      <c r="D1983" s="17">
        <v>67.5</v>
      </c>
    </row>
    <row r="1984" spans="1:4" ht="21.75" customHeight="1">
      <c r="A1984" s="15" t="s">
        <v>55</v>
      </c>
      <c r="B1984" s="16" t="s">
        <v>36</v>
      </c>
      <c r="C1984" s="15" t="str">
        <f>"20190116615"</f>
        <v>20190116615</v>
      </c>
      <c r="D1984" s="17">
        <v>52.5</v>
      </c>
    </row>
    <row r="1985" spans="1:4" ht="21.75" customHeight="1">
      <c r="A1985" s="15" t="s">
        <v>55</v>
      </c>
      <c r="B1985" s="16" t="s">
        <v>36</v>
      </c>
      <c r="C1985" s="15" t="str">
        <f>"20190116616"</f>
        <v>20190116616</v>
      </c>
      <c r="D1985" s="17">
        <v>66.5</v>
      </c>
    </row>
    <row r="1986" spans="1:4" ht="21.75" customHeight="1">
      <c r="A1986" s="15" t="s">
        <v>55</v>
      </c>
      <c r="B1986" s="16" t="s">
        <v>36</v>
      </c>
      <c r="C1986" s="15" t="str">
        <f>"20190116617"</f>
        <v>20190116617</v>
      </c>
      <c r="D1986" s="17">
        <v>58</v>
      </c>
    </row>
    <row r="1987" spans="1:4" ht="21.75" customHeight="1">
      <c r="A1987" s="15" t="s">
        <v>55</v>
      </c>
      <c r="B1987" s="16" t="s">
        <v>36</v>
      </c>
      <c r="C1987" s="15" t="str">
        <f>"20190116618"</f>
        <v>20190116618</v>
      </c>
      <c r="D1987" s="17" t="s">
        <v>12</v>
      </c>
    </row>
    <row r="1988" spans="1:4" ht="21.75" customHeight="1">
      <c r="A1988" s="15" t="s">
        <v>55</v>
      </c>
      <c r="B1988" s="16" t="s">
        <v>36</v>
      </c>
      <c r="C1988" s="15" t="str">
        <f>"20190116619"</f>
        <v>20190116619</v>
      </c>
      <c r="D1988" s="17">
        <v>49.5</v>
      </c>
    </row>
    <row r="1989" spans="1:5" ht="21.75" customHeight="1">
      <c r="A1989" s="15" t="s">
        <v>55</v>
      </c>
      <c r="B1989" s="16" t="s">
        <v>36</v>
      </c>
      <c r="C1989" s="15" t="str">
        <f>"20190116620"</f>
        <v>20190116620</v>
      </c>
      <c r="D1989" s="17">
        <v>68</v>
      </c>
      <c r="E1989" s="18" t="s">
        <v>9</v>
      </c>
    </row>
    <row r="1990" spans="1:4" ht="21.75" customHeight="1">
      <c r="A1990" s="15" t="s">
        <v>55</v>
      </c>
      <c r="B1990" s="16" t="s">
        <v>36</v>
      </c>
      <c r="C1990" s="15" t="str">
        <f>"20190116621"</f>
        <v>20190116621</v>
      </c>
      <c r="D1990" s="17" t="s">
        <v>12</v>
      </c>
    </row>
    <row r="1991" spans="1:4" ht="21.75" customHeight="1">
      <c r="A1991" s="15" t="s">
        <v>55</v>
      </c>
      <c r="B1991" s="16" t="s">
        <v>36</v>
      </c>
      <c r="C1991" s="15" t="str">
        <f>"20190116622"</f>
        <v>20190116622</v>
      </c>
      <c r="D1991" s="17" t="s">
        <v>12</v>
      </c>
    </row>
    <row r="1992" spans="1:4" ht="21.75" customHeight="1">
      <c r="A1992" s="15" t="s">
        <v>55</v>
      </c>
      <c r="B1992" s="16" t="s">
        <v>36</v>
      </c>
      <c r="C1992" s="15" t="str">
        <f>"20190116623"</f>
        <v>20190116623</v>
      </c>
      <c r="D1992" s="17">
        <v>55</v>
      </c>
    </row>
    <row r="1993" spans="1:4" ht="21.75" customHeight="1">
      <c r="A1993" s="15" t="s">
        <v>55</v>
      </c>
      <c r="B1993" s="16" t="s">
        <v>36</v>
      </c>
      <c r="C1993" s="15" t="str">
        <f>"20190116624"</f>
        <v>20190116624</v>
      </c>
      <c r="D1993" s="17" t="s">
        <v>12</v>
      </c>
    </row>
    <row r="1994" spans="1:4" ht="21.75" customHeight="1">
      <c r="A1994" s="15" t="s">
        <v>55</v>
      </c>
      <c r="B1994" s="16" t="s">
        <v>36</v>
      </c>
      <c r="C1994" s="15" t="str">
        <f>"20190116625"</f>
        <v>20190116625</v>
      </c>
      <c r="D1994" s="17">
        <v>62.5</v>
      </c>
    </row>
    <row r="1995" spans="1:4" ht="21.75" customHeight="1">
      <c r="A1995" s="15" t="s">
        <v>55</v>
      </c>
      <c r="B1995" s="16" t="s">
        <v>36</v>
      </c>
      <c r="C1995" s="15" t="str">
        <f>"20190116626"</f>
        <v>20190116626</v>
      </c>
      <c r="D1995" s="17">
        <v>62.5</v>
      </c>
    </row>
    <row r="1996" spans="1:4" ht="21.75" customHeight="1">
      <c r="A1996" s="15" t="s">
        <v>55</v>
      </c>
      <c r="B1996" s="16" t="s">
        <v>36</v>
      </c>
      <c r="C1996" s="15" t="str">
        <f>"20190116627"</f>
        <v>20190116627</v>
      </c>
      <c r="D1996" s="17">
        <v>67</v>
      </c>
    </row>
    <row r="1997" spans="1:4" ht="21.75" customHeight="1">
      <c r="A1997" s="15" t="s">
        <v>55</v>
      </c>
      <c r="B1997" s="16" t="s">
        <v>36</v>
      </c>
      <c r="C1997" s="15" t="str">
        <f>"20190116628"</f>
        <v>20190116628</v>
      </c>
      <c r="D1997" s="17">
        <v>66</v>
      </c>
    </row>
    <row r="1998" spans="1:4" ht="21.75" customHeight="1">
      <c r="A1998" s="15" t="s">
        <v>55</v>
      </c>
      <c r="B1998" s="16" t="s">
        <v>36</v>
      </c>
      <c r="C1998" s="15" t="str">
        <f>"20190116629"</f>
        <v>20190116629</v>
      </c>
      <c r="D1998" s="17">
        <v>44</v>
      </c>
    </row>
    <row r="1999" spans="1:4" ht="21.75" customHeight="1">
      <c r="A1999" s="20" t="s">
        <v>55</v>
      </c>
      <c r="B1999" s="21" t="s">
        <v>19</v>
      </c>
      <c r="C1999" s="15" t="str">
        <f>"20190116630"</f>
        <v>20190116630</v>
      </c>
      <c r="D1999" s="17">
        <v>57</v>
      </c>
    </row>
    <row r="2000" spans="1:4" ht="21.75" customHeight="1">
      <c r="A2000" s="20" t="s">
        <v>55</v>
      </c>
      <c r="B2000" s="21" t="s">
        <v>19</v>
      </c>
      <c r="C2000" s="15" t="str">
        <f>"20190116701"</f>
        <v>20190116701</v>
      </c>
      <c r="D2000" s="17">
        <v>55.5</v>
      </c>
    </row>
    <row r="2001" spans="1:5" ht="21.75" customHeight="1">
      <c r="A2001" s="20" t="s">
        <v>55</v>
      </c>
      <c r="B2001" s="21" t="s">
        <v>19</v>
      </c>
      <c r="C2001" s="15" t="str">
        <f>"20190116702"</f>
        <v>20190116702</v>
      </c>
      <c r="D2001" s="17">
        <v>71.5</v>
      </c>
      <c r="E2001" s="18" t="s">
        <v>9</v>
      </c>
    </row>
    <row r="2002" spans="1:4" ht="21.75" customHeight="1">
      <c r="A2002" s="20" t="s">
        <v>55</v>
      </c>
      <c r="B2002" s="21" t="s">
        <v>19</v>
      </c>
      <c r="C2002" s="15" t="str">
        <f>"20190116703"</f>
        <v>20190116703</v>
      </c>
      <c r="D2002" s="17" t="s">
        <v>12</v>
      </c>
    </row>
    <row r="2003" spans="1:4" ht="21.75" customHeight="1">
      <c r="A2003" s="20" t="s">
        <v>55</v>
      </c>
      <c r="B2003" s="21" t="s">
        <v>19</v>
      </c>
      <c r="C2003" s="15" t="str">
        <f>"20190116704"</f>
        <v>20190116704</v>
      </c>
      <c r="D2003" s="17">
        <v>60</v>
      </c>
    </row>
    <row r="2004" spans="1:4" ht="21.75" customHeight="1">
      <c r="A2004" s="20" t="s">
        <v>55</v>
      </c>
      <c r="B2004" s="21" t="s">
        <v>19</v>
      </c>
      <c r="C2004" s="15" t="str">
        <f>"20190116705"</f>
        <v>20190116705</v>
      </c>
      <c r="D2004" s="17">
        <v>60</v>
      </c>
    </row>
    <row r="2005" spans="1:4" ht="21.75" customHeight="1">
      <c r="A2005" s="20" t="s">
        <v>55</v>
      </c>
      <c r="B2005" s="21" t="s">
        <v>19</v>
      </c>
      <c r="C2005" s="15" t="str">
        <f>"20190116706"</f>
        <v>20190116706</v>
      </c>
      <c r="D2005" s="17">
        <v>59.5</v>
      </c>
    </row>
    <row r="2006" spans="1:4" ht="21.75" customHeight="1">
      <c r="A2006" s="20" t="s">
        <v>55</v>
      </c>
      <c r="B2006" s="21" t="s">
        <v>19</v>
      </c>
      <c r="C2006" s="15" t="str">
        <f>"20190116707"</f>
        <v>20190116707</v>
      </c>
      <c r="D2006" s="17">
        <v>63</v>
      </c>
    </row>
    <row r="2007" spans="1:4" ht="21.75" customHeight="1">
      <c r="A2007" s="20" t="s">
        <v>55</v>
      </c>
      <c r="B2007" s="21" t="s">
        <v>19</v>
      </c>
      <c r="C2007" s="15" t="str">
        <f>"20190116708"</f>
        <v>20190116708</v>
      </c>
      <c r="D2007" s="17">
        <v>60</v>
      </c>
    </row>
    <row r="2008" spans="1:4" ht="21.75" customHeight="1">
      <c r="A2008" s="20" t="s">
        <v>55</v>
      </c>
      <c r="B2008" s="21" t="s">
        <v>19</v>
      </c>
      <c r="C2008" s="15" t="str">
        <f>"20190116709"</f>
        <v>20190116709</v>
      </c>
      <c r="D2008" s="17" t="s">
        <v>12</v>
      </c>
    </row>
    <row r="2009" spans="1:4" ht="21.75" customHeight="1">
      <c r="A2009" s="20" t="s">
        <v>55</v>
      </c>
      <c r="B2009" s="21" t="s">
        <v>19</v>
      </c>
      <c r="C2009" s="15" t="str">
        <f>"20190116710"</f>
        <v>20190116710</v>
      </c>
      <c r="D2009" s="17">
        <v>68</v>
      </c>
    </row>
    <row r="2010" spans="1:4" ht="21.75" customHeight="1">
      <c r="A2010" s="20" t="s">
        <v>55</v>
      </c>
      <c r="B2010" s="21" t="s">
        <v>19</v>
      </c>
      <c r="C2010" s="15" t="str">
        <f>"20190116711"</f>
        <v>20190116711</v>
      </c>
      <c r="D2010" s="17">
        <v>49.5</v>
      </c>
    </row>
    <row r="2011" spans="1:4" ht="21.75" customHeight="1">
      <c r="A2011" s="20" t="s">
        <v>55</v>
      </c>
      <c r="B2011" s="21" t="s">
        <v>19</v>
      </c>
      <c r="C2011" s="15" t="str">
        <f>"20190116712"</f>
        <v>20190116712</v>
      </c>
      <c r="D2011" s="17">
        <v>63.5</v>
      </c>
    </row>
    <row r="2012" spans="1:4" ht="21.75" customHeight="1">
      <c r="A2012" s="20" t="s">
        <v>55</v>
      </c>
      <c r="B2012" s="21" t="s">
        <v>19</v>
      </c>
      <c r="C2012" s="15" t="str">
        <f>"20190116713"</f>
        <v>20190116713</v>
      </c>
      <c r="D2012" s="17">
        <v>53.5</v>
      </c>
    </row>
    <row r="2013" spans="1:4" ht="21.75" customHeight="1">
      <c r="A2013" s="20" t="s">
        <v>55</v>
      </c>
      <c r="B2013" s="21" t="s">
        <v>19</v>
      </c>
      <c r="C2013" s="15" t="str">
        <f>"20190116714"</f>
        <v>20190116714</v>
      </c>
      <c r="D2013" s="17">
        <v>55</v>
      </c>
    </row>
    <row r="2014" spans="1:4" ht="21.75" customHeight="1">
      <c r="A2014" s="20" t="s">
        <v>55</v>
      </c>
      <c r="B2014" s="21" t="s">
        <v>19</v>
      </c>
      <c r="C2014" s="15" t="str">
        <f>"20190116715"</f>
        <v>20190116715</v>
      </c>
      <c r="D2014" s="17">
        <v>60</v>
      </c>
    </row>
    <row r="2015" spans="1:4" ht="21.75" customHeight="1">
      <c r="A2015" s="20" t="s">
        <v>55</v>
      </c>
      <c r="B2015" s="21" t="s">
        <v>19</v>
      </c>
      <c r="C2015" s="15" t="str">
        <f>"20190116716"</f>
        <v>20190116716</v>
      </c>
      <c r="D2015" s="17">
        <v>55</v>
      </c>
    </row>
    <row r="2016" spans="1:4" ht="21.75" customHeight="1">
      <c r="A2016" s="20" t="s">
        <v>55</v>
      </c>
      <c r="B2016" s="21" t="s">
        <v>19</v>
      </c>
      <c r="C2016" s="15" t="str">
        <f>"20190116717"</f>
        <v>20190116717</v>
      </c>
      <c r="D2016" s="17" t="s">
        <v>12</v>
      </c>
    </row>
    <row r="2017" spans="1:4" ht="21.75" customHeight="1">
      <c r="A2017" s="20" t="s">
        <v>55</v>
      </c>
      <c r="B2017" s="21" t="s">
        <v>19</v>
      </c>
      <c r="C2017" s="15" t="str">
        <f>"20190116718"</f>
        <v>20190116718</v>
      </c>
      <c r="D2017" s="17">
        <v>48.5</v>
      </c>
    </row>
    <row r="2018" spans="1:4" ht="21.75" customHeight="1">
      <c r="A2018" s="20" t="s">
        <v>55</v>
      </c>
      <c r="B2018" s="21" t="s">
        <v>19</v>
      </c>
      <c r="C2018" s="15" t="str">
        <f>"20190116719"</f>
        <v>20190116719</v>
      </c>
      <c r="D2018" s="17">
        <v>53.5</v>
      </c>
    </row>
    <row r="2019" spans="1:4" ht="21.75" customHeight="1">
      <c r="A2019" s="20" t="s">
        <v>55</v>
      </c>
      <c r="B2019" s="21" t="s">
        <v>19</v>
      </c>
      <c r="C2019" s="15" t="str">
        <f>"20190116720"</f>
        <v>20190116720</v>
      </c>
      <c r="D2019" s="17">
        <v>60.5</v>
      </c>
    </row>
    <row r="2020" spans="1:4" ht="21.75" customHeight="1">
      <c r="A2020" s="20" t="s">
        <v>55</v>
      </c>
      <c r="B2020" s="21" t="s">
        <v>19</v>
      </c>
      <c r="C2020" s="15" t="str">
        <f>"20190116721"</f>
        <v>20190116721</v>
      </c>
      <c r="D2020" s="17">
        <v>56</v>
      </c>
    </row>
    <row r="2021" spans="1:4" ht="21.75" customHeight="1">
      <c r="A2021" s="20" t="s">
        <v>55</v>
      </c>
      <c r="B2021" s="21" t="s">
        <v>19</v>
      </c>
      <c r="C2021" s="15" t="str">
        <f>"20190116722"</f>
        <v>20190116722</v>
      </c>
      <c r="D2021" s="17">
        <v>59.5</v>
      </c>
    </row>
    <row r="2022" spans="1:4" ht="21.75" customHeight="1">
      <c r="A2022" s="20" t="s">
        <v>55</v>
      </c>
      <c r="B2022" s="21" t="s">
        <v>19</v>
      </c>
      <c r="C2022" s="15" t="str">
        <f>"20190116723"</f>
        <v>20190116723</v>
      </c>
      <c r="D2022" s="17" t="s">
        <v>12</v>
      </c>
    </row>
    <row r="2023" spans="1:4" ht="21.75" customHeight="1">
      <c r="A2023" s="20" t="s">
        <v>55</v>
      </c>
      <c r="B2023" s="21" t="s">
        <v>19</v>
      </c>
      <c r="C2023" s="15" t="str">
        <f>"20190116724"</f>
        <v>20190116724</v>
      </c>
      <c r="D2023" s="17">
        <v>59</v>
      </c>
    </row>
    <row r="2024" spans="1:4" ht="21.75" customHeight="1">
      <c r="A2024" s="20" t="s">
        <v>55</v>
      </c>
      <c r="B2024" s="21" t="s">
        <v>19</v>
      </c>
      <c r="C2024" s="15" t="str">
        <f>"20190116725"</f>
        <v>20190116725</v>
      </c>
      <c r="D2024" s="17">
        <v>66</v>
      </c>
    </row>
    <row r="2025" spans="1:4" ht="21.75" customHeight="1">
      <c r="A2025" s="20" t="s">
        <v>55</v>
      </c>
      <c r="B2025" s="21" t="s">
        <v>19</v>
      </c>
      <c r="C2025" s="15" t="str">
        <f>"20190116726"</f>
        <v>20190116726</v>
      </c>
      <c r="D2025" s="17" t="s">
        <v>12</v>
      </c>
    </row>
    <row r="2026" spans="1:4" ht="21.75" customHeight="1">
      <c r="A2026" s="20" t="s">
        <v>55</v>
      </c>
      <c r="B2026" s="21" t="s">
        <v>19</v>
      </c>
      <c r="C2026" s="15" t="str">
        <f>"20190116727"</f>
        <v>20190116727</v>
      </c>
      <c r="D2026" s="17">
        <v>67</v>
      </c>
    </row>
    <row r="2027" spans="1:5" ht="21.75" customHeight="1">
      <c r="A2027" s="20" t="s">
        <v>55</v>
      </c>
      <c r="B2027" s="21" t="s">
        <v>19</v>
      </c>
      <c r="C2027" s="15" t="str">
        <f>"20190116728"</f>
        <v>20190116728</v>
      </c>
      <c r="D2027" s="17">
        <v>71</v>
      </c>
      <c r="E2027" s="18" t="s">
        <v>9</v>
      </c>
    </row>
    <row r="2028" spans="1:4" ht="21.75" customHeight="1">
      <c r="A2028" s="20" t="s">
        <v>55</v>
      </c>
      <c r="B2028" s="21" t="s">
        <v>19</v>
      </c>
      <c r="C2028" s="15" t="str">
        <f>"20190116729"</f>
        <v>20190116729</v>
      </c>
      <c r="D2028" s="17" t="s">
        <v>12</v>
      </c>
    </row>
    <row r="2029" spans="1:4" ht="21.75" customHeight="1">
      <c r="A2029" s="20" t="s">
        <v>55</v>
      </c>
      <c r="B2029" s="21" t="s">
        <v>19</v>
      </c>
      <c r="C2029" s="15" t="str">
        <f>"20190116730"</f>
        <v>20190116730</v>
      </c>
      <c r="D2029" s="17">
        <v>63.5</v>
      </c>
    </row>
    <row r="2030" spans="1:4" ht="21.75" customHeight="1">
      <c r="A2030" s="20" t="s">
        <v>55</v>
      </c>
      <c r="B2030" s="21" t="s">
        <v>19</v>
      </c>
      <c r="C2030" s="15" t="str">
        <f>"20190116801"</f>
        <v>20190116801</v>
      </c>
      <c r="D2030" s="17">
        <v>63.5</v>
      </c>
    </row>
    <row r="2031" spans="1:4" ht="21.75" customHeight="1">
      <c r="A2031" s="20" t="s">
        <v>55</v>
      </c>
      <c r="B2031" s="21" t="s">
        <v>19</v>
      </c>
      <c r="C2031" s="15" t="str">
        <f>"20190116802"</f>
        <v>20190116802</v>
      </c>
      <c r="D2031" s="17">
        <v>63</v>
      </c>
    </row>
    <row r="2032" spans="1:4" ht="21.75" customHeight="1">
      <c r="A2032" s="20" t="s">
        <v>55</v>
      </c>
      <c r="B2032" s="21" t="s">
        <v>19</v>
      </c>
      <c r="C2032" s="15" t="str">
        <f>"20190116803"</f>
        <v>20190116803</v>
      </c>
      <c r="D2032" s="17">
        <v>57</v>
      </c>
    </row>
    <row r="2033" spans="1:4" ht="21.75" customHeight="1">
      <c r="A2033" s="20" t="s">
        <v>55</v>
      </c>
      <c r="B2033" s="21" t="s">
        <v>19</v>
      </c>
      <c r="C2033" s="15" t="str">
        <f>"20190116804"</f>
        <v>20190116804</v>
      </c>
      <c r="D2033" s="17">
        <v>58</v>
      </c>
    </row>
    <row r="2034" spans="1:4" ht="21.75" customHeight="1">
      <c r="A2034" s="20" t="s">
        <v>55</v>
      </c>
      <c r="B2034" s="21" t="s">
        <v>19</v>
      </c>
      <c r="C2034" s="15" t="str">
        <f>"20190116805"</f>
        <v>20190116805</v>
      </c>
      <c r="D2034" s="17">
        <v>48.5</v>
      </c>
    </row>
    <row r="2035" spans="1:4" ht="21.75" customHeight="1">
      <c r="A2035" s="20" t="s">
        <v>55</v>
      </c>
      <c r="B2035" s="21" t="s">
        <v>19</v>
      </c>
      <c r="C2035" s="15" t="str">
        <f>"20190116806"</f>
        <v>20190116806</v>
      </c>
      <c r="D2035" s="17" t="s">
        <v>12</v>
      </c>
    </row>
    <row r="2036" spans="1:4" ht="21.75" customHeight="1">
      <c r="A2036" s="20" t="s">
        <v>55</v>
      </c>
      <c r="B2036" s="21" t="s">
        <v>19</v>
      </c>
      <c r="C2036" s="15" t="str">
        <f>"20190116807"</f>
        <v>20190116807</v>
      </c>
      <c r="D2036" s="17">
        <v>54</v>
      </c>
    </row>
    <row r="2037" spans="1:4" ht="21.75" customHeight="1">
      <c r="A2037" s="20" t="s">
        <v>55</v>
      </c>
      <c r="B2037" s="21" t="s">
        <v>19</v>
      </c>
      <c r="C2037" s="15" t="str">
        <f>"20190116808"</f>
        <v>20190116808</v>
      </c>
      <c r="D2037" s="17" t="s">
        <v>12</v>
      </c>
    </row>
    <row r="2038" spans="1:4" ht="21.75" customHeight="1">
      <c r="A2038" s="20" t="s">
        <v>55</v>
      </c>
      <c r="B2038" s="21" t="s">
        <v>19</v>
      </c>
      <c r="C2038" s="15" t="str">
        <f>"20190116809"</f>
        <v>20190116809</v>
      </c>
      <c r="D2038" s="17">
        <v>53.5</v>
      </c>
    </row>
    <row r="2039" spans="1:4" ht="21.75" customHeight="1">
      <c r="A2039" s="20" t="s">
        <v>55</v>
      </c>
      <c r="B2039" s="21" t="s">
        <v>19</v>
      </c>
      <c r="C2039" s="15" t="str">
        <f>"20190116810"</f>
        <v>20190116810</v>
      </c>
      <c r="D2039" s="17" t="s">
        <v>12</v>
      </c>
    </row>
    <row r="2040" spans="1:4" ht="21.75" customHeight="1">
      <c r="A2040" s="20" t="s">
        <v>55</v>
      </c>
      <c r="B2040" s="21" t="s">
        <v>19</v>
      </c>
      <c r="C2040" s="15" t="str">
        <f>"20190116811"</f>
        <v>20190116811</v>
      </c>
      <c r="D2040" s="17">
        <v>54</v>
      </c>
    </row>
    <row r="2041" spans="1:4" ht="21.75" customHeight="1">
      <c r="A2041" s="20" t="s">
        <v>55</v>
      </c>
      <c r="B2041" s="21" t="s">
        <v>19</v>
      </c>
      <c r="C2041" s="15" t="str">
        <f>"20190116812"</f>
        <v>20190116812</v>
      </c>
      <c r="D2041" s="17" t="s">
        <v>12</v>
      </c>
    </row>
    <row r="2042" spans="1:4" ht="21.75" customHeight="1">
      <c r="A2042" s="20" t="s">
        <v>55</v>
      </c>
      <c r="B2042" s="21" t="s">
        <v>19</v>
      </c>
      <c r="C2042" s="15" t="str">
        <f>"20190116813"</f>
        <v>20190116813</v>
      </c>
      <c r="D2042" s="17">
        <v>53</v>
      </c>
    </row>
    <row r="2043" spans="1:4" ht="21.75" customHeight="1">
      <c r="A2043" s="20" t="s">
        <v>55</v>
      </c>
      <c r="B2043" s="21" t="s">
        <v>19</v>
      </c>
      <c r="C2043" s="15" t="str">
        <f>"20190116814"</f>
        <v>20190116814</v>
      </c>
      <c r="D2043" s="17">
        <v>61.5</v>
      </c>
    </row>
    <row r="2044" spans="1:5" ht="21.75" customHeight="1">
      <c r="A2044" s="20" t="s">
        <v>55</v>
      </c>
      <c r="B2044" s="21" t="s">
        <v>19</v>
      </c>
      <c r="C2044" s="15" t="str">
        <f>"20190116815"</f>
        <v>20190116815</v>
      </c>
      <c r="D2044" s="17">
        <v>75</v>
      </c>
      <c r="E2044" s="18" t="s">
        <v>9</v>
      </c>
    </row>
    <row r="2045" spans="1:4" ht="21.75" customHeight="1">
      <c r="A2045" s="20" t="s">
        <v>55</v>
      </c>
      <c r="B2045" s="21" t="s">
        <v>19</v>
      </c>
      <c r="C2045" s="15" t="str">
        <f>"20190116816"</f>
        <v>20190116816</v>
      </c>
      <c r="D2045" s="17" t="s">
        <v>12</v>
      </c>
    </row>
    <row r="2046" spans="1:4" ht="21.75" customHeight="1">
      <c r="A2046" s="20" t="s">
        <v>55</v>
      </c>
      <c r="B2046" s="21" t="s">
        <v>19</v>
      </c>
      <c r="C2046" s="15" t="str">
        <f>"20190116817"</f>
        <v>20190116817</v>
      </c>
      <c r="D2046" s="17">
        <v>63.5</v>
      </c>
    </row>
    <row r="2047" spans="1:4" ht="21.75" customHeight="1">
      <c r="A2047" s="20" t="s">
        <v>55</v>
      </c>
      <c r="B2047" s="21" t="s">
        <v>19</v>
      </c>
      <c r="C2047" s="15" t="str">
        <f>"20190116818"</f>
        <v>20190116818</v>
      </c>
      <c r="D2047" s="17">
        <v>62</v>
      </c>
    </row>
    <row r="2048" spans="1:4" ht="21.75" customHeight="1">
      <c r="A2048" s="20" t="s">
        <v>55</v>
      </c>
      <c r="B2048" s="21" t="s">
        <v>19</v>
      </c>
      <c r="C2048" s="15" t="str">
        <f>"20190116819"</f>
        <v>20190116819</v>
      </c>
      <c r="D2048" s="17" t="s">
        <v>12</v>
      </c>
    </row>
    <row r="2049" spans="1:4" ht="21.75" customHeight="1">
      <c r="A2049" s="20" t="s">
        <v>55</v>
      </c>
      <c r="B2049" s="21" t="s">
        <v>19</v>
      </c>
      <c r="C2049" s="15" t="str">
        <f>"20190116820"</f>
        <v>20190116820</v>
      </c>
      <c r="D2049" s="17">
        <v>51</v>
      </c>
    </row>
    <row r="2050" spans="1:4" ht="21.75" customHeight="1">
      <c r="A2050" s="20" t="s">
        <v>55</v>
      </c>
      <c r="B2050" s="21" t="s">
        <v>19</v>
      </c>
      <c r="C2050" s="15" t="str">
        <f>"20190116821"</f>
        <v>20190116821</v>
      </c>
      <c r="D2050" s="17">
        <v>61</v>
      </c>
    </row>
    <row r="2051" spans="1:4" ht="21.75" customHeight="1">
      <c r="A2051" s="20" t="s">
        <v>55</v>
      </c>
      <c r="B2051" s="21" t="s">
        <v>19</v>
      </c>
      <c r="C2051" s="15" t="str">
        <f>"20190116822"</f>
        <v>20190116822</v>
      </c>
      <c r="D2051" s="17">
        <v>61</v>
      </c>
    </row>
    <row r="2052" spans="1:4" ht="21.75" customHeight="1">
      <c r="A2052" s="20" t="s">
        <v>55</v>
      </c>
      <c r="B2052" s="21" t="s">
        <v>19</v>
      </c>
      <c r="C2052" s="15" t="str">
        <f>"20190116823"</f>
        <v>20190116823</v>
      </c>
      <c r="D2052" s="17">
        <v>61</v>
      </c>
    </row>
    <row r="2053" spans="1:4" ht="21.75" customHeight="1">
      <c r="A2053" s="20" t="s">
        <v>55</v>
      </c>
      <c r="B2053" s="21" t="s">
        <v>19</v>
      </c>
      <c r="C2053" s="15" t="str">
        <f>"20190116824"</f>
        <v>20190116824</v>
      </c>
      <c r="D2053" s="17">
        <v>55</v>
      </c>
    </row>
    <row r="2054" spans="1:4" ht="21.75" customHeight="1">
      <c r="A2054" s="20" t="s">
        <v>55</v>
      </c>
      <c r="B2054" s="21" t="s">
        <v>19</v>
      </c>
      <c r="C2054" s="15" t="str">
        <f>"20190116825"</f>
        <v>20190116825</v>
      </c>
      <c r="D2054" s="17">
        <v>60.5</v>
      </c>
    </row>
    <row r="2055" spans="1:4" ht="21.75" customHeight="1">
      <c r="A2055" s="20" t="s">
        <v>55</v>
      </c>
      <c r="B2055" s="21" t="s">
        <v>19</v>
      </c>
      <c r="C2055" s="15" t="str">
        <f>"20190116826"</f>
        <v>20190116826</v>
      </c>
      <c r="D2055" s="17" t="s">
        <v>12</v>
      </c>
    </row>
    <row r="2056" spans="1:4" ht="21.75" customHeight="1">
      <c r="A2056" s="20" t="s">
        <v>55</v>
      </c>
      <c r="B2056" s="21" t="s">
        <v>19</v>
      </c>
      <c r="C2056" s="15" t="str">
        <f>"20190116827"</f>
        <v>20190116827</v>
      </c>
      <c r="D2056" s="17">
        <v>51.5</v>
      </c>
    </row>
    <row r="2057" spans="1:4" ht="21.75" customHeight="1">
      <c r="A2057" s="20" t="s">
        <v>55</v>
      </c>
      <c r="B2057" s="21" t="s">
        <v>19</v>
      </c>
      <c r="C2057" s="15" t="str">
        <f>"20190116828"</f>
        <v>20190116828</v>
      </c>
      <c r="D2057" s="17">
        <v>59</v>
      </c>
    </row>
    <row r="2058" spans="1:4" ht="21.75" customHeight="1">
      <c r="A2058" s="20" t="s">
        <v>55</v>
      </c>
      <c r="B2058" s="21" t="s">
        <v>19</v>
      </c>
      <c r="C2058" s="15" t="str">
        <f>"20190116829"</f>
        <v>20190116829</v>
      </c>
      <c r="D2058" s="17">
        <v>49</v>
      </c>
    </row>
    <row r="2059" spans="1:4" ht="21.75" customHeight="1">
      <c r="A2059" s="20" t="s">
        <v>55</v>
      </c>
      <c r="B2059" s="21" t="s">
        <v>19</v>
      </c>
      <c r="C2059" s="15" t="str">
        <f>"20190116830"</f>
        <v>20190116830</v>
      </c>
      <c r="D2059" s="17">
        <v>67.5</v>
      </c>
    </row>
    <row r="2060" spans="1:4" ht="21.75" customHeight="1">
      <c r="A2060" s="20" t="s">
        <v>55</v>
      </c>
      <c r="B2060" s="21" t="s">
        <v>19</v>
      </c>
      <c r="C2060" s="15" t="str">
        <f>"20190116901"</f>
        <v>20190116901</v>
      </c>
      <c r="D2060" s="17">
        <v>58</v>
      </c>
    </row>
    <row r="2061" spans="1:4" ht="21.75" customHeight="1">
      <c r="A2061" s="20" t="s">
        <v>55</v>
      </c>
      <c r="B2061" s="21" t="s">
        <v>19</v>
      </c>
      <c r="C2061" s="15" t="str">
        <f>"20190116902"</f>
        <v>20190116902</v>
      </c>
      <c r="D2061" s="17" t="s">
        <v>12</v>
      </c>
    </row>
    <row r="2062" spans="1:4" ht="21.75" customHeight="1">
      <c r="A2062" s="20" t="s">
        <v>55</v>
      </c>
      <c r="B2062" s="21" t="s">
        <v>19</v>
      </c>
      <c r="C2062" s="15" t="str">
        <f>"20190116903"</f>
        <v>20190116903</v>
      </c>
      <c r="D2062" s="17">
        <v>49</v>
      </c>
    </row>
    <row r="2063" spans="1:4" ht="21.75" customHeight="1">
      <c r="A2063" s="20" t="s">
        <v>55</v>
      </c>
      <c r="B2063" s="21" t="s">
        <v>19</v>
      </c>
      <c r="C2063" s="15" t="str">
        <f>"20190116904"</f>
        <v>20190116904</v>
      </c>
      <c r="D2063" s="17" t="s">
        <v>12</v>
      </c>
    </row>
    <row r="2064" spans="1:4" ht="21.75" customHeight="1">
      <c r="A2064" s="20" t="s">
        <v>55</v>
      </c>
      <c r="B2064" s="21" t="s">
        <v>19</v>
      </c>
      <c r="C2064" s="15" t="str">
        <f>"20190116905"</f>
        <v>20190116905</v>
      </c>
      <c r="D2064" s="17">
        <v>54.5</v>
      </c>
    </row>
    <row r="2065" spans="1:4" ht="21.75" customHeight="1">
      <c r="A2065" s="20" t="s">
        <v>55</v>
      </c>
      <c r="B2065" s="21" t="s">
        <v>19</v>
      </c>
      <c r="C2065" s="15" t="str">
        <f>"20190116906"</f>
        <v>20190116906</v>
      </c>
      <c r="D2065" s="17" t="s">
        <v>12</v>
      </c>
    </row>
    <row r="2066" spans="1:4" ht="21.75" customHeight="1">
      <c r="A2066" s="20" t="s">
        <v>55</v>
      </c>
      <c r="B2066" s="21" t="s">
        <v>19</v>
      </c>
      <c r="C2066" s="15" t="str">
        <f>"20190116907"</f>
        <v>20190116907</v>
      </c>
      <c r="D2066" s="17">
        <v>67.5</v>
      </c>
    </row>
    <row r="2067" spans="1:4" ht="21.75" customHeight="1">
      <c r="A2067" s="20" t="s">
        <v>55</v>
      </c>
      <c r="B2067" s="21" t="s">
        <v>19</v>
      </c>
      <c r="C2067" s="15" t="str">
        <f>"20190116908"</f>
        <v>20190116908</v>
      </c>
      <c r="D2067" s="17" t="s">
        <v>12</v>
      </c>
    </row>
    <row r="2068" spans="1:4" ht="21.75" customHeight="1">
      <c r="A2068" s="20" t="s">
        <v>55</v>
      </c>
      <c r="B2068" s="21" t="s">
        <v>19</v>
      </c>
      <c r="C2068" s="15" t="str">
        <f>"20190116909"</f>
        <v>20190116909</v>
      </c>
      <c r="D2068" s="17" t="s">
        <v>12</v>
      </c>
    </row>
    <row r="2069" spans="1:4" ht="21.75" customHeight="1">
      <c r="A2069" s="20" t="s">
        <v>55</v>
      </c>
      <c r="B2069" s="21" t="s">
        <v>19</v>
      </c>
      <c r="C2069" s="15" t="str">
        <f>"20190116910"</f>
        <v>20190116910</v>
      </c>
      <c r="D2069" s="17">
        <v>63</v>
      </c>
    </row>
    <row r="2070" spans="1:4" ht="21.75" customHeight="1">
      <c r="A2070" s="20" t="s">
        <v>55</v>
      </c>
      <c r="B2070" s="21" t="s">
        <v>19</v>
      </c>
      <c r="C2070" s="15" t="str">
        <f>"20190116911"</f>
        <v>20190116911</v>
      </c>
      <c r="D2070" s="17">
        <v>56</v>
      </c>
    </row>
    <row r="2071" spans="1:4" ht="21.75" customHeight="1">
      <c r="A2071" s="20" t="s">
        <v>55</v>
      </c>
      <c r="B2071" s="21" t="s">
        <v>19</v>
      </c>
      <c r="C2071" s="15" t="str">
        <f>"20190116912"</f>
        <v>20190116912</v>
      </c>
      <c r="D2071" s="17">
        <v>54.5</v>
      </c>
    </row>
    <row r="2072" spans="1:4" ht="21.75" customHeight="1">
      <c r="A2072" s="20" t="s">
        <v>55</v>
      </c>
      <c r="B2072" s="21" t="s">
        <v>19</v>
      </c>
      <c r="C2072" s="15" t="str">
        <f>"20190116913"</f>
        <v>20190116913</v>
      </c>
      <c r="D2072" s="17">
        <v>64.5</v>
      </c>
    </row>
    <row r="2073" spans="1:4" ht="21.75" customHeight="1">
      <c r="A2073" s="20" t="s">
        <v>55</v>
      </c>
      <c r="B2073" s="21" t="s">
        <v>19</v>
      </c>
      <c r="C2073" s="15" t="str">
        <f>"20190116914"</f>
        <v>20190116914</v>
      </c>
      <c r="D2073" s="17">
        <v>59</v>
      </c>
    </row>
    <row r="2074" spans="1:4" ht="21.75" customHeight="1">
      <c r="A2074" s="20" t="s">
        <v>55</v>
      </c>
      <c r="B2074" s="21" t="s">
        <v>19</v>
      </c>
      <c r="C2074" s="15" t="str">
        <f>"20190116915"</f>
        <v>20190116915</v>
      </c>
      <c r="D2074" s="17">
        <v>52</v>
      </c>
    </row>
    <row r="2075" spans="1:4" ht="21.75" customHeight="1">
      <c r="A2075" s="20" t="s">
        <v>55</v>
      </c>
      <c r="B2075" s="21" t="s">
        <v>19</v>
      </c>
      <c r="C2075" s="15" t="str">
        <f>"20190116916"</f>
        <v>20190116916</v>
      </c>
      <c r="D2075" s="17">
        <v>61</v>
      </c>
    </row>
    <row r="2076" spans="1:4" ht="21.75" customHeight="1">
      <c r="A2076" s="20" t="s">
        <v>55</v>
      </c>
      <c r="B2076" s="21" t="s">
        <v>19</v>
      </c>
      <c r="C2076" s="15" t="str">
        <f>"20190116917"</f>
        <v>20190116917</v>
      </c>
      <c r="D2076" s="17">
        <v>58</v>
      </c>
    </row>
    <row r="2077" spans="1:4" ht="21.75" customHeight="1">
      <c r="A2077" s="20" t="s">
        <v>55</v>
      </c>
      <c r="B2077" s="21" t="s">
        <v>19</v>
      </c>
      <c r="C2077" s="15" t="str">
        <f>"20190116918"</f>
        <v>20190116918</v>
      </c>
      <c r="D2077" s="17">
        <v>63</v>
      </c>
    </row>
    <row r="2078" spans="1:4" ht="21.75" customHeight="1">
      <c r="A2078" s="20" t="s">
        <v>55</v>
      </c>
      <c r="B2078" s="21" t="s">
        <v>19</v>
      </c>
      <c r="C2078" s="15" t="str">
        <f>"20190116919"</f>
        <v>20190116919</v>
      </c>
      <c r="D2078" s="17" t="s">
        <v>12</v>
      </c>
    </row>
    <row r="2079" spans="1:4" ht="21.75" customHeight="1">
      <c r="A2079" s="20" t="s">
        <v>55</v>
      </c>
      <c r="B2079" s="21" t="s">
        <v>19</v>
      </c>
      <c r="C2079" s="15" t="str">
        <f>"20190116920"</f>
        <v>20190116920</v>
      </c>
      <c r="D2079" s="17">
        <v>58.5</v>
      </c>
    </row>
    <row r="2080" spans="1:4" ht="21.75" customHeight="1">
      <c r="A2080" s="20" t="s">
        <v>55</v>
      </c>
      <c r="B2080" s="21" t="s">
        <v>19</v>
      </c>
      <c r="C2080" s="15" t="str">
        <f>"20190116921"</f>
        <v>20190116921</v>
      </c>
      <c r="D2080" s="17">
        <v>36</v>
      </c>
    </row>
    <row r="2081" spans="1:4" ht="21.75" customHeight="1">
      <c r="A2081" s="20" t="s">
        <v>55</v>
      </c>
      <c r="B2081" s="21" t="s">
        <v>19</v>
      </c>
      <c r="C2081" s="15" t="str">
        <f>"20190116922"</f>
        <v>20190116922</v>
      </c>
      <c r="D2081" s="17" t="s">
        <v>12</v>
      </c>
    </row>
    <row r="2082" spans="1:4" ht="21.75" customHeight="1">
      <c r="A2082" s="20" t="s">
        <v>55</v>
      </c>
      <c r="B2082" s="21" t="s">
        <v>19</v>
      </c>
      <c r="C2082" s="15" t="str">
        <f>"20190116923"</f>
        <v>20190116923</v>
      </c>
      <c r="D2082" s="17" t="s">
        <v>12</v>
      </c>
    </row>
    <row r="2083" spans="1:4" ht="21.75" customHeight="1">
      <c r="A2083" s="20" t="s">
        <v>55</v>
      </c>
      <c r="B2083" s="21" t="s">
        <v>19</v>
      </c>
      <c r="C2083" s="15" t="str">
        <f>"20190116924"</f>
        <v>20190116924</v>
      </c>
      <c r="D2083" s="17">
        <v>63.5</v>
      </c>
    </row>
    <row r="2084" spans="1:5" ht="21.75" customHeight="1">
      <c r="A2084" s="20" t="s">
        <v>55</v>
      </c>
      <c r="B2084" s="21" t="s">
        <v>19</v>
      </c>
      <c r="C2084" s="15" t="str">
        <f>"20190116925"</f>
        <v>20190116925</v>
      </c>
      <c r="D2084" s="17">
        <v>59.5</v>
      </c>
      <c r="E2084" s="19"/>
    </row>
    <row r="2085" spans="1:5" ht="21.75" customHeight="1">
      <c r="A2085" s="20" t="s">
        <v>55</v>
      </c>
      <c r="B2085" s="21" t="s">
        <v>19</v>
      </c>
      <c r="C2085" s="15" t="str">
        <f>"20190116926"</f>
        <v>20190116926</v>
      </c>
      <c r="D2085" s="17" t="s">
        <v>12</v>
      </c>
      <c r="E2085" s="19"/>
    </row>
    <row r="2086" spans="1:5" ht="21.75" customHeight="1">
      <c r="A2086" s="20" t="s">
        <v>55</v>
      </c>
      <c r="B2086" s="21" t="s">
        <v>19</v>
      </c>
      <c r="C2086" s="15" t="str">
        <f>"20190116927"</f>
        <v>20190116927</v>
      </c>
      <c r="D2086" s="17" t="s">
        <v>12</v>
      </c>
      <c r="E2086" s="19"/>
    </row>
    <row r="2087" spans="1:4" ht="21.75" customHeight="1">
      <c r="A2087" s="20" t="s">
        <v>55</v>
      </c>
      <c r="B2087" s="21" t="s">
        <v>19</v>
      </c>
      <c r="C2087" s="15" t="str">
        <f>"20190116928"</f>
        <v>20190116928</v>
      </c>
      <c r="D2087" s="17">
        <v>66.5</v>
      </c>
    </row>
    <row r="2088" spans="1:4" ht="21.75" customHeight="1">
      <c r="A2088" s="20" t="s">
        <v>55</v>
      </c>
      <c r="B2088" s="21" t="s">
        <v>19</v>
      </c>
      <c r="C2088" s="15" t="str">
        <f>"20190116929"</f>
        <v>20190116929</v>
      </c>
      <c r="D2088" s="17">
        <v>54</v>
      </c>
    </row>
    <row r="2089" spans="1:4" ht="21.75" customHeight="1">
      <c r="A2089" s="20" t="s">
        <v>55</v>
      </c>
      <c r="B2089" s="21" t="s">
        <v>19</v>
      </c>
      <c r="C2089" s="15" t="str">
        <f>"20190116930"</f>
        <v>20190116930</v>
      </c>
      <c r="D2089" s="17">
        <v>64</v>
      </c>
    </row>
    <row r="2090" spans="1:4" ht="21.75" customHeight="1">
      <c r="A2090" s="20" t="s">
        <v>55</v>
      </c>
      <c r="B2090" s="21" t="s">
        <v>19</v>
      </c>
      <c r="C2090" s="15" t="str">
        <f>"20190117001"</f>
        <v>20190117001</v>
      </c>
      <c r="D2090" s="17">
        <v>61.5</v>
      </c>
    </row>
    <row r="2091" spans="1:4" ht="21.75" customHeight="1">
      <c r="A2091" s="20" t="s">
        <v>55</v>
      </c>
      <c r="B2091" s="21" t="s">
        <v>19</v>
      </c>
      <c r="C2091" s="15" t="str">
        <f>"20190117002"</f>
        <v>20190117002</v>
      </c>
      <c r="D2091" s="17">
        <v>54.5</v>
      </c>
    </row>
    <row r="2092" spans="1:4" ht="21.75" customHeight="1">
      <c r="A2092" s="20" t="s">
        <v>55</v>
      </c>
      <c r="B2092" s="21" t="s">
        <v>19</v>
      </c>
      <c r="C2092" s="15" t="str">
        <f>"20190117003"</f>
        <v>20190117003</v>
      </c>
      <c r="D2092" s="17">
        <v>66.5</v>
      </c>
    </row>
    <row r="2093" spans="1:4" ht="21.75" customHeight="1">
      <c r="A2093" s="20" t="s">
        <v>55</v>
      </c>
      <c r="B2093" s="21" t="s">
        <v>19</v>
      </c>
      <c r="C2093" s="15" t="str">
        <f>"20190117004"</f>
        <v>20190117004</v>
      </c>
      <c r="D2093" s="17">
        <v>63.5</v>
      </c>
    </row>
    <row r="2094" spans="1:4" ht="21.75" customHeight="1">
      <c r="A2094" s="20" t="s">
        <v>55</v>
      </c>
      <c r="B2094" s="21" t="s">
        <v>19</v>
      </c>
      <c r="C2094" s="15" t="str">
        <f>"20190117005"</f>
        <v>20190117005</v>
      </c>
      <c r="D2094" s="17">
        <v>67.5</v>
      </c>
    </row>
    <row r="2095" spans="1:4" ht="21.75" customHeight="1">
      <c r="A2095" s="20" t="s">
        <v>55</v>
      </c>
      <c r="B2095" s="21" t="s">
        <v>19</v>
      </c>
      <c r="C2095" s="15" t="str">
        <f>"20190117006"</f>
        <v>20190117006</v>
      </c>
      <c r="D2095" s="17" t="s">
        <v>12</v>
      </c>
    </row>
    <row r="2096" spans="1:4" ht="21.75" customHeight="1">
      <c r="A2096" s="20" t="s">
        <v>55</v>
      </c>
      <c r="B2096" s="21" t="s">
        <v>19</v>
      </c>
      <c r="C2096" s="15" t="str">
        <f>"20190117007"</f>
        <v>20190117007</v>
      </c>
      <c r="D2096" s="17" t="s">
        <v>12</v>
      </c>
    </row>
    <row r="2097" spans="1:4" ht="21.75" customHeight="1">
      <c r="A2097" s="20" t="s">
        <v>55</v>
      </c>
      <c r="B2097" s="21" t="s">
        <v>19</v>
      </c>
      <c r="C2097" s="15" t="str">
        <f>"20190117008"</f>
        <v>20190117008</v>
      </c>
      <c r="D2097" s="17">
        <v>46</v>
      </c>
    </row>
    <row r="2098" spans="1:4" ht="21.75" customHeight="1">
      <c r="A2098" s="20" t="s">
        <v>55</v>
      </c>
      <c r="B2098" s="21" t="s">
        <v>19</v>
      </c>
      <c r="C2098" s="15" t="str">
        <f>"20190117009"</f>
        <v>20190117009</v>
      </c>
      <c r="D2098" s="17">
        <v>56</v>
      </c>
    </row>
    <row r="2099" spans="1:4" ht="21.75" customHeight="1">
      <c r="A2099" s="20" t="s">
        <v>55</v>
      </c>
      <c r="B2099" s="21" t="s">
        <v>19</v>
      </c>
      <c r="C2099" s="15" t="str">
        <f>"20190117010"</f>
        <v>20190117010</v>
      </c>
      <c r="D2099" s="17">
        <v>41</v>
      </c>
    </row>
    <row r="2100" spans="1:4" ht="21.75" customHeight="1">
      <c r="A2100" s="20" t="s">
        <v>55</v>
      </c>
      <c r="B2100" s="21" t="s">
        <v>19</v>
      </c>
      <c r="C2100" s="15" t="str">
        <f>"20190117011"</f>
        <v>20190117011</v>
      </c>
      <c r="D2100" s="17">
        <v>61.5</v>
      </c>
    </row>
    <row r="2101" spans="1:4" ht="21.75" customHeight="1">
      <c r="A2101" s="20" t="s">
        <v>55</v>
      </c>
      <c r="B2101" s="21" t="s">
        <v>19</v>
      </c>
      <c r="C2101" s="15" t="str">
        <f>"20190117012"</f>
        <v>20190117012</v>
      </c>
      <c r="D2101" s="17">
        <v>65.5</v>
      </c>
    </row>
    <row r="2102" spans="1:4" ht="21.75" customHeight="1">
      <c r="A2102" s="20" t="s">
        <v>55</v>
      </c>
      <c r="B2102" s="21" t="s">
        <v>19</v>
      </c>
      <c r="C2102" s="15" t="str">
        <f>"20190117013"</f>
        <v>20190117013</v>
      </c>
      <c r="D2102" s="17">
        <v>50</v>
      </c>
    </row>
    <row r="2103" spans="1:4" ht="21.75" customHeight="1">
      <c r="A2103" s="20" t="s">
        <v>55</v>
      </c>
      <c r="B2103" s="21" t="s">
        <v>19</v>
      </c>
      <c r="C2103" s="15" t="str">
        <f>"20190117014"</f>
        <v>20190117014</v>
      </c>
      <c r="D2103" s="17">
        <v>59</v>
      </c>
    </row>
    <row r="2104" spans="1:4" ht="21.75" customHeight="1">
      <c r="A2104" s="20" t="s">
        <v>55</v>
      </c>
      <c r="B2104" s="21" t="s">
        <v>19</v>
      </c>
      <c r="C2104" s="15" t="str">
        <f>"20190117015"</f>
        <v>20190117015</v>
      </c>
      <c r="D2104" s="17" t="s">
        <v>12</v>
      </c>
    </row>
    <row r="2105" spans="1:5" ht="21.75" customHeight="1">
      <c r="A2105" s="15" t="s">
        <v>55</v>
      </c>
      <c r="B2105" s="16" t="s">
        <v>22</v>
      </c>
      <c r="C2105" s="15" t="str">
        <f>"20190117016"</f>
        <v>20190117016</v>
      </c>
      <c r="D2105" s="17">
        <v>69</v>
      </c>
      <c r="E2105" s="18" t="s">
        <v>9</v>
      </c>
    </row>
    <row r="2106" spans="1:4" ht="21.75" customHeight="1">
      <c r="A2106" s="15" t="s">
        <v>55</v>
      </c>
      <c r="B2106" s="16" t="s">
        <v>22</v>
      </c>
      <c r="C2106" s="15" t="str">
        <f>"20190117017"</f>
        <v>20190117017</v>
      </c>
      <c r="D2106" s="17" t="s">
        <v>12</v>
      </c>
    </row>
    <row r="2107" spans="1:4" ht="21.75" customHeight="1">
      <c r="A2107" s="15" t="s">
        <v>55</v>
      </c>
      <c r="B2107" s="16" t="s">
        <v>22</v>
      </c>
      <c r="C2107" s="15" t="str">
        <f>"20190117018"</f>
        <v>20190117018</v>
      </c>
      <c r="D2107" s="17">
        <v>58.5</v>
      </c>
    </row>
    <row r="2108" spans="1:4" ht="21.75" customHeight="1">
      <c r="A2108" s="15" t="s">
        <v>55</v>
      </c>
      <c r="B2108" s="16" t="s">
        <v>22</v>
      </c>
      <c r="C2108" s="15" t="str">
        <f>"20190117019"</f>
        <v>20190117019</v>
      </c>
      <c r="D2108" s="17">
        <v>53.5</v>
      </c>
    </row>
    <row r="2109" spans="1:4" ht="21.75" customHeight="1">
      <c r="A2109" s="15" t="s">
        <v>55</v>
      </c>
      <c r="B2109" s="16" t="s">
        <v>22</v>
      </c>
      <c r="C2109" s="15" t="str">
        <f>"20190117020"</f>
        <v>20190117020</v>
      </c>
      <c r="D2109" s="17">
        <v>61</v>
      </c>
    </row>
    <row r="2110" spans="1:5" ht="21.75" customHeight="1">
      <c r="A2110" s="15" t="s">
        <v>55</v>
      </c>
      <c r="B2110" s="16" t="s">
        <v>22</v>
      </c>
      <c r="C2110" s="15" t="str">
        <f>"20190117021"</f>
        <v>20190117021</v>
      </c>
      <c r="D2110" s="17">
        <v>63</v>
      </c>
      <c r="E2110" s="18" t="s">
        <v>9</v>
      </c>
    </row>
    <row r="2111" spans="1:4" ht="21.75" customHeight="1">
      <c r="A2111" s="15" t="s">
        <v>55</v>
      </c>
      <c r="B2111" s="16" t="s">
        <v>22</v>
      </c>
      <c r="C2111" s="15" t="str">
        <f>"20190117022"</f>
        <v>20190117022</v>
      </c>
      <c r="D2111" s="17">
        <v>52</v>
      </c>
    </row>
    <row r="2112" spans="1:4" ht="21.75" customHeight="1">
      <c r="A2112" s="15" t="s">
        <v>55</v>
      </c>
      <c r="B2112" s="16" t="s">
        <v>22</v>
      </c>
      <c r="C2112" s="15" t="str">
        <f>"20190117023"</f>
        <v>20190117023</v>
      </c>
      <c r="D2112" s="17">
        <v>61</v>
      </c>
    </row>
    <row r="2113" spans="1:4" ht="21.75" customHeight="1">
      <c r="A2113" s="15" t="s">
        <v>55</v>
      </c>
      <c r="B2113" s="16" t="s">
        <v>22</v>
      </c>
      <c r="C2113" s="15" t="str">
        <f>"20190117024"</f>
        <v>20190117024</v>
      </c>
      <c r="D2113" s="17">
        <v>54.5</v>
      </c>
    </row>
    <row r="2114" spans="1:4" ht="21.75" customHeight="1">
      <c r="A2114" s="15" t="s">
        <v>55</v>
      </c>
      <c r="B2114" s="16" t="s">
        <v>22</v>
      </c>
      <c r="C2114" s="15" t="str">
        <f>"20190117025"</f>
        <v>20190117025</v>
      </c>
      <c r="D2114" s="17">
        <v>58</v>
      </c>
    </row>
    <row r="2115" spans="1:5" ht="21.75" customHeight="1">
      <c r="A2115" s="15" t="s">
        <v>55</v>
      </c>
      <c r="B2115" s="16" t="s">
        <v>22</v>
      </c>
      <c r="C2115" s="15" t="str">
        <f>"20190117026"</f>
        <v>20190117026</v>
      </c>
      <c r="D2115" s="17">
        <v>64.5</v>
      </c>
      <c r="E2115" s="18" t="s">
        <v>9</v>
      </c>
    </row>
    <row r="2116" spans="1:4" ht="21.75" customHeight="1">
      <c r="A2116" s="20" t="s">
        <v>56</v>
      </c>
      <c r="B2116" s="21" t="s">
        <v>57</v>
      </c>
      <c r="C2116" s="15" t="str">
        <f>"20190117027"</f>
        <v>20190117027</v>
      </c>
      <c r="D2116" s="17">
        <v>58</v>
      </c>
    </row>
    <row r="2117" spans="1:4" ht="21.75" customHeight="1">
      <c r="A2117" s="20" t="s">
        <v>56</v>
      </c>
      <c r="B2117" s="21" t="s">
        <v>57</v>
      </c>
      <c r="C2117" s="15" t="str">
        <f>"20190117028"</f>
        <v>20190117028</v>
      </c>
      <c r="D2117" s="17" t="s">
        <v>12</v>
      </c>
    </row>
    <row r="2118" spans="1:4" ht="21.75" customHeight="1">
      <c r="A2118" s="20" t="s">
        <v>56</v>
      </c>
      <c r="B2118" s="21" t="s">
        <v>57</v>
      </c>
      <c r="C2118" s="15" t="str">
        <f>"20190117029"</f>
        <v>20190117029</v>
      </c>
      <c r="D2118" s="17">
        <v>64.5</v>
      </c>
    </row>
    <row r="2119" spans="1:4" ht="21.75" customHeight="1">
      <c r="A2119" s="20" t="s">
        <v>56</v>
      </c>
      <c r="B2119" s="21" t="s">
        <v>57</v>
      </c>
      <c r="C2119" s="15" t="str">
        <f>"20190117030"</f>
        <v>20190117030</v>
      </c>
      <c r="D2119" s="17">
        <v>56</v>
      </c>
    </row>
    <row r="2120" spans="1:4" ht="21.75" customHeight="1">
      <c r="A2120" s="20" t="s">
        <v>56</v>
      </c>
      <c r="B2120" s="21" t="s">
        <v>57</v>
      </c>
      <c r="C2120" s="15" t="str">
        <f>"20190117101"</f>
        <v>20190117101</v>
      </c>
      <c r="D2120" s="17">
        <v>63</v>
      </c>
    </row>
    <row r="2121" spans="1:4" ht="21.75" customHeight="1">
      <c r="A2121" s="20" t="s">
        <v>56</v>
      </c>
      <c r="B2121" s="21" t="s">
        <v>57</v>
      </c>
      <c r="C2121" s="15" t="str">
        <f>"20190117102"</f>
        <v>20190117102</v>
      </c>
      <c r="D2121" s="17">
        <v>52.5</v>
      </c>
    </row>
    <row r="2122" spans="1:4" ht="21.75" customHeight="1">
      <c r="A2122" s="20" t="s">
        <v>56</v>
      </c>
      <c r="B2122" s="21" t="s">
        <v>57</v>
      </c>
      <c r="C2122" s="15" t="str">
        <f>"20190117103"</f>
        <v>20190117103</v>
      </c>
      <c r="D2122" s="17">
        <v>64</v>
      </c>
    </row>
    <row r="2123" spans="1:5" ht="21.75" customHeight="1">
      <c r="A2123" s="20" t="s">
        <v>56</v>
      </c>
      <c r="B2123" s="21" t="s">
        <v>57</v>
      </c>
      <c r="C2123" s="15" t="str">
        <f>"20190117104"</f>
        <v>20190117104</v>
      </c>
      <c r="D2123" s="17">
        <v>66.5</v>
      </c>
      <c r="E2123" s="18" t="s">
        <v>9</v>
      </c>
    </row>
    <row r="2124" spans="1:4" ht="21.75" customHeight="1">
      <c r="A2124" s="20" t="s">
        <v>56</v>
      </c>
      <c r="B2124" s="21" t="s">
        <v>57</v>
      </c>
      <c r="C2124" s="15" t="str">
        <f>"20190117105"</f>
        <v>20190117105</v>
      </c>
      <c r="D2124" s="17">
        <v>60</v>
      </c>
    </row>
    <row r="2125" spans="1:4" ht="21.75" customHeight="1">
      <c r="A2125" s="20" t="s">
        <v>56</v>
      </c>
      <c r="B2125" s="21" t="s">
        <v>57</v>
      </c>
      <c r="C2125" s="15" t="str">
        <f>"20190117106"</f>
        <v>20190117106</v>
      </c>
      <c r="D2125" s="17">
        <v>63.5</v>
      </c>
    </row>
    <row r="2126" spans="1:5" ht="21.75" customHeight="1">
      <c r="A2126" s="20" t="s">
        <v>56</v>
      </c>
      <c r="B2126" s="21" t="s">
        <v>57</v>
      </c>
      <c r="C2126" s="15" t="str">
        <f>"20190117107"</f>
        <v>20190117107</v>
      </c>
      <c r="D2126" s="17">
        <v>67.5</v>
      </c>
      <c r="E2126" s="18" t="s">
        <v>9</v>
      </c>
    </row>
    <row r="2127" spans="1:4" ht="21.75" customHeight="1">
      <c r="A2127" s="20" t="s">
        <v>56</v>
      </c>
      <c r="B2127" s="21" t="s">
        <v>57</v>
      </c>
      <c r="C2127" s="15" t="str">
        <f>"20190117108"</f>
        <v>20190117108</v>
      </c>
      <c r="D2127" s="17">
        <v>60.5</v>
      </c>
    </row>
    <row r="2128" spans="1:5" ht="21.75" customHeight="1">
      <c r="A2128" s="20" t="s">
        <v>56</v>
      </c>
      <c r="B2128" s="21" t="s">
        <v>57</v>
      </c>
      <c r="C2128" s="15" t="str">
        <f>"20190117109"</f>
        <v>20190117109</v>
      </c>
      <c r="D2128" s="17">
        <v>74</v>
      </c>
      <c r="E2128" s="18" t="s">
        <v>9</v>
      </c>
    </row>
    <row r="2129" spans="1:5" ht="21.75" customHeight="1">
      <c r="A2129" s="20" t="s">
        <v>56</v>
      </c>
      <c r="B2129" s="21" t="s">
        <v>57</v>
      </c>
      <c r="C2129" s="15" t="str">
        <f>"20190117110"</f>
        <v>20190117110</v>
      </c>
      <c r="D2129" s="17">
        <v>66.5</v>
      </c>
      <c r="E2129" s="18" t="s">
        <v>9</v>
      </c>
    </row>
    <row r="2130" spans="1:4" ht="21.75" customHeight="1">
      <c r="A2130" s="20" t="s">
        <v>56</v>
      </c>
      <c r="B2130" s="21" t="s">
        <v>57</v>
      </c>
      <c r="C2130" s="15" t="str">
        <f>"20190117111"</f>
        <v>20190117111</v>
      </c>
      <c r="D2130" s="17">
        <v>59</v>
      </c>
    </row>
    <row r="2131" spans="1:4" ht="21.75" customHeight="1">
      <c r="A2131" s="20" t="s">
        <v>56</v>
      </c>
      <c r="B2131" s="21" t="s">
        <v>57</v>
      </c>
      <c r="C2131" s="15" t="str">
        <f>"20190117112"</f>
        <v>20190117112</v>
      </c>
      <c r="D2131" s="17">
        <v>61</v>
      </c>
    </row>
    <row r="2132" spans="1:4" ht="21.75" customHeight="1">
      <c r="A2132" s="20" t="s">
        <v>56</v>
      </c>
      <c r="B2132" s="21" t="s">
        <v>57</v>
      </c>
      <c r="C2132" s="15" t="str">
        <f>"20190117113"</f>
        <v>20190117113</v>
      </c>
      <c r="D2132" s="17">
        <v>48.5</v>
      </c>
    </row>
    <row r="2133" spans="1:4" ht="21.75" customHeight="1">
      <c r="A2133" s="20" t="s">
        <v>56</v>
      </c>
      <c r="B2133" s="21" t="s">
        <v>57</v>
      </c>
      <c r="C2133" s="15" t="str">
        <f>"20190117114"</f>
        <v>20190117114</v>
      </c>
      <c r="D2133" s="17">
        <v>48.5</v>
      </c>
    </row>
    <row r="2134" spans="1:4" ht="21.75" customHeight="1">
      <c r="A2134" s="20" t="s">
        <v>56</v>
      </c>
      <c r="B2134" s="21" t="s">
        <v>57</v>
      </c>
      <c r="C2134" s="15" t="str">
        <f>"20190117115"</f>
        <v>20190117115</v>
      </c>
      <c r="D2134" s="17">
        <v>63.5</v>
      </c>
    </row>
    <row r="2135" spans="1:4" ht="21.75" customHeight="1">
      <c r="A2135" s="20" t="s">
        <v>56</v>
      </c>
      <c r="B2135" s="21" t="s">
        <v>57</v>
      </c>
      <c r="C2135" s="15" t="str">
        <f>"20190117116"</f>
        <v>20190117116</v>
      </c>
      <c r="D2135" s="17" t="s">
        <v>12</v>
      </c>
    </row>
    <row r="2136" spans="1:4" ht="21.75" customHeight="1">
      <c r="A2136" s="15" t="s">
        <v>58</v>
      </c>
      <c r="B2136" s="16" t="s">
        <v>8</v>
      </c>
      <c r="C2136" s="15" t="str">
        <f>"20190117117"</f>
        <v>20190117117</v>
      </c>
      <c r="D2136" s="17" t="s">
        <v>12</v>
      </c>
    </row>
    <row r="2137" spans="1:4" ht="21.75" customHeight="1">
      <c r="A2137" s="15" t="s">
        <v>58</v>
      </c>
      <c r="B2137" s="16" t="s">
        <v>8</v>
      </c>
      <c r="C2137" s="15" t="str">
        <f>"20190117118"</f>
        <v>20190117118</v>
      </c>
      <c r="D2137" s="17">
        <v>52</v>
      </c>
    </row>
    <row r="2138" spans="1:4" ht="21.75" customHeight="1">
      <c r="A2138" s="15" t="s">
        <v>58</v>
      </c>
      <c r="B2138" s="16" t="s">
        <v>8</v>
      </c>
      <c r="C2138" s="15" t="str">
        <f>"20190117119"</f>
        <v>20190117119</v>
      </c>
      <c r="D2138" s="17" t="s">
        <v>12</v>
      </c>
    </row>
    <row r="2139" spans="1:4" ht="21.75" customHeight="1">
      <c r="A2139" s="15" t="s">
        <v>58</v>
      </c>
      <c r="B2139" s="16" t="s">
        <v>8</v>
      </c>
      <c r="C2139" s="15" t="str">
        <f>"20190117120"</f>
        <v>20190117120</v>
      </c>
      <c r="D2139" s="17">
        <v>58.5</v>
      </c>
    </row>
    <row r="2140" spans="1:4" ht="21.75" customHeight="1">
      <c r="A2140" s="15" t="s">
        <v>58</v>
      </c>
      <c r="B2140" s="16" t="s">
        <v>8</v>
      </c>
      <c r="C2140" s="15" t="str">
        <f>"20190117121"</f>
        <v>20190117121</v>
      </c>
      <c r="D2140" s="17">
        <v>56</v>
      </c>
    </row>
    <row r="2141" spans="1:4" ht="21.75" customHeight="1">
      <c r="A2141" s="15" t="s">
        <v>58</v>
      </c>
      <c r="B2141" s="16" t="s">
        <v>8</v>
      </c>
      <c r="C2141" s="15" t="str">
        <f>"20190117122"</f>
        <v>20190117122</v>
      </c>
      <c r="D2141" s="17">
        <v>62.5</v>
      </c>
    </row>
    <row r="2142" spans="1:4" ht="21.75" customHeight="1">
      <c r="A2142" s="15" t="s">
        <v>58</v>
      </c>
      <c r="B2142" s="16" t="s">
        <v>8</v>
      </c>
      <c r="C2142" s="15" t="str">
        <f>"20190117123"</f>
        <v>20190117123</v>
      </c>
      <c r="D2142" s="17">
        <v>55</v>
      </c>
    </row>
    <row r="2143" spans="1:4" ht="21.75" customHeight="1">
      <c r="A2143" s="15" t="s">
        <v>58</v>
      </c>
      <c r="B2143" s="16" t="s">
        <v>8</v>
      </c>
      <c r="C2143" s="15" t="str">
        <f>"20190117124"</f>
        <v>20190117124</v>
      </c>
      <c r="D2143" s="17">
        <v>60</v>
      </c>
    </row>
    <row r="2144" spans="1:4" ht="21.75" customHeight="1">
      <c r="A2144" s="15" t="s">
        <v>58</v>
      </c>
      <c r="B2144" s="16" t="s">
        <v>8</v>
      </c>
      <c r="C2144" s="15" t="str">
        <f>"20190117125"</f>
        <v>20190117125</v>
      </c>
      <c r="D2144" s="17" t="s">
        <v>12</v>
      </c>
    </row>
    <row r="2145" spans="1:4" ht="21.75" customHeight="1">
      <c r="A2145" s="15" t="s">
        <v>58</v>
      </c>
      <c r="B2145" s="16" t="s">
        <v>8</v>
      </c>
      <c r="C2145" s="15" t="str">
        <f>"20190117126"</f>
        <v>20190117126</v>
      </c>
      <c r="D2145" s="17">
        <v>60</v>
      </c>
    </row>
    <row r="2146" spans="1:4" ht="21.75" customHeight="1">
      <c r="A2146" s="15" t="s">
        <v>58</v>
      </c>
      <c r="B2146" s="16" t="s">
        <v>8</v>
      </c>
      <c r="C2146" s="15" t="str">
        <f>"20190117127"</f>
        <v>20190117127</v>
      </c>
      <c r="D2146" s="17">
        <v>63.5</v>
      </c>
    </row>
    <row r="2147" spans="1:4" ht="21.75" customHeight="1">
      <c r="A2147" s="15" t="s">
        <v>58</v>
      </c>
      <c r="B2147" s="16" t="s">
        <v>8</v>
      </c>
      <c r="C2147" s="15" t="str">
        <f>"20190117128"</f>
        <v>20190117128</v>
      </c>
      <c r="D2147" s="17">
        <v>63</v>
      </c>
    </row>
    <row r="2148" spans="1:4" ht="21.75" customHeight="1">
      <c r="A2148" s="15" t="s">
        <v>58</v>
      </c>
      <c r="B2148" s="16" t="s">
        <v>8</v>
      </c>
      <c r="C2148" s="15" t="str">
        <f>"20190117129"</f>
        <v>20190117129</v>
      </c>
      <c r="D2148" s="17">
        <v>61</v>
      </c>
    </row>
    <row r="2149" spans="1:4" ht="21.75" customHeight="1">
      <c r="A2149" s="15" t="s">
        <v>58</v>
      </c>
      <c r="B2149" s="16" t="s">
        <v>8</v>
      </c>
      <c r="C2149" s="15" t="str">
        <f>"20190117130"</f>
        <v>20190117130</v>
      </c>
      <c r="D2149" s="17">
        <v>51</v>
      </c>
    </row>
    <row r="2150" spans="1:4" ht="21.75" customHeight="1">
      <c r="A2150" s="15" t="s">
        <v>58</v>
      </c>
      <c r="B2150" s="16" t="s">
        <v>8</v>
      </c>
      <c r="C2150" s="15" t="str">
        <f>"20190117201"</f>
        <v>20190117201</v>
      </c>
      <c r="D2150" s="17" t="s">
        <v>12</v>
      </c>
    </row>
    <row r="2151" spans="1:4" ht="21.75" customHeight="1">
      <c r="A2151" s="15" t="s">
        <v>58</v>
      </c>
      <c r="B2151" s="16" t="s">
        <v>8</v>
      </c>
      <c r="C2151" s="15" t="str">
        <f>"20190117202"</f>
        <v>20190117202</v>
      </c>
      <c r="D2151" s="17">
        <v>57.5</v>
      </c>
    </row>
    <row r="2152" spans="1:4" ht="21.75" customHeight="1">
      <c r="A2152" s="15" t="s">
        <v>58</v>
      </c>
      <c r="B2152" s="16" t="s">
        <v>8</v>
      </c>
      <c r="C2152" s="15" t="str">
        <f>"20190117203"</f>
        <v>20190117203</v>
      </c>
      <c r="D2152" s="17">
        <v>56</v>
      </c>
    </row>
    <row r="2153" spans="1:4" ht="21.75" customHeight="1">
      <c r="A2153" s="15" t="s">
        <v>58</v>
      </c>
      <c r="B2153" s="16" t="s">
        <v>8</v>
      </c>
      <c r="C2153" s="15" t="str">
        <f>"20190117204"</f>
        <v>20190117204</v>
      </c>
      <c r="D2153" s="17">
        <v>57</v>
      </c>
    </row>
    <row r="2154" spans="1:4" ht="21.75" customHeight="1">
      <c r="A2154" s="15" t="s">
        <v>58</v>
      </c>
      <c r="B2154" s="16" t="s">
        <v>8</v>
      </c>
      <c r="C2154" s="15" t="str">
        <f>"20190117205"</f>
        <v>20190117205</v>
      </c>
      <c r="D2154" s="17">
        <v>59</v>
      </c>
    </row>
    <row r="2155" spans="1:4" ht="21.75" customHeight="1">
      <c r="A2155" s="15" t="s">
        <v>58</v>
      </c>
      <c r="B2155" s="16" t="s">
        <v>8</v>
      </c>
      <c r="C2155" s="15" t="str">
        <f>"20190117206"</f>
        <v>20190117206</v>
      </c>
      <c r="D2155" s="17">
        <v>49</v>
      </c>
    </row>
    <row r="2156" spans="1:4" ht="21.75" customHeight="1">
      <c r="A2156" s="15" t="s">
        <v>58</v>
      </c>
      <c r="B2156" s="16" t="s">
        <v>8</v>
      </c>
      <c r="C2156" s="15" t="str">
        <f>"20190117207"</f>
        <v>20190117207</v>
      </c>
      <c r="D2156" s="17" t="s">
        <v>12</v>
      </c>
    </row>
    <row r="2157" spans="1:5" ht="21.75" customHeight="1">
      <c r="A2157" s="15" t="s">
        <v>58</v>
      </c>
      <c r="B2157" s="16" t="s">
        <v>8</v>
      </c>
      <c r="C2157" s="15" t="str">
        <f>"20190117208"</f>
        <v>20190117208</v>
      </c>
      <c r="D2157" s="17">
        <v>68.5</v>
      </c>
      <c r="E2157" s="18" t="s">
        <v>9</v>
      </c>
    </row>
    <row r="2158" spans="1:4" ht="21.75" customHeight="1">
      <c r="A2158" s="15" t="s">
        <v>58</v>
      </c>
      <c r="B2158" s="16" t="s">
        <v>8</v>
      </c>
      <c r="C2158" s="15" t="str">
        <f>"20190117209"</f>
        <v>20190117209</v>
      </c>
      <c r="D2158" s="17">
        <v>62.5</v>
      </c>
    </row>
    <row r="2159" spans="1:5" ht="21.75" customHeight="1">
      <c r="A2159" s="15" t="s">
        <v>58</v>
      </c>
      <c r="B2159" s="16" t="s">
        <v>8</v>
      </c>
      <c r="C2159" s="15" t="str">
        <f>"20190117210"</f>
        <v>20190117210</v>
      </c>
      <c r="D2159" s="17">
        <v>71</v>
      </c>
      <c r="E2159" s="18" t="s">
        <v>9</v>
      </c>
    </row>
    <row r="2160" spans="1:4" ht="21.75" customHeight="1">
      <c r="A2160" s="15" t="s">
        <v>58</v>
      </c>
      <c r="B2160" s="16" t="s">
        <v>8</v>
      </c>
      <c r="C2160" s="15" t="str">
        <f>"20190117211"</f>
        <v>20190117211</v>
      </c>
      <c r="D2160" s="17">
        <v>63.5</v>
      </c>
    </row>
    <row r="2161" spans="1:4" ht="21.75" customHeight="1">
      <c r="A2161" s="15" t="s">
        <v>58</v>
      </c>
      <c r="B2161" s="16" t="s">
        <v>8</v>
      </c>
      <c r="C2161" s="15" t="str">
        <f>"20190117212"</f>
        <v>20190117212</v>
      </c>
      <c r="D2161" s="17">
        <v>61.5</v>
      </c>
    </row>
    <row r="2162" spans="1:4" ht="21.75" customHeight="1">
      <c r="A2162" s="15" t="s">
        <v>58</v>
      </c>
      <c r="B2162" s="16" t="s">
        <v>8</v>
      </c>
      <c r="C2162" s="15" t="str">
        <f>"20190117213"</f>
        <v>20190117213</v>
      </c>
      <c r="D2162" s="17">
        <v>47</v>
      </c>
    </row>
    <row r="2163" spans="1:4" ht="21.75" customHeight="1">
      <c r="A2163" s="15" t="s">
        <v>58</v>
      </c>
      <c r="B2163" s="16" t="s">
        <v>8</v>
      </c>
      <c r="C2163" s="15" t="str">
        <f>"20190117214"</f>
        <v>20190117214</v>
      </c>
      <c r="D2163" s="17" t="s">
        <v>12</v>
      </c>
    </row>
    <row r="2164" spans="1:4" ht="21.75" customHeight="1">
      <c r="A2164" s="15" t="s">
        <v>58</v>
      </c>
      <c r="B2164" s="16" t="s">
        <v>8</v>
      </c>
      <c r="C2164" s="15" t="str">
        <f>"20190117215"</f>
        <v>20190117215</v>
      </c>
      <c r="D2164" s="17">
        <v>50</v>
      </c>
    </row>
    <row r="2165" spans="1:4" ht="21.75" customHeight="1">
      <c r="A2165" s="15" t="s">
        <v>58</v>
      </c>
      <c r="B2165" s="16" t="s">
        <v>8</v>
      </c>
      <c r="C2165" s="15" t="str">
        <f>"20190117216"</f>
        <v>20190117216</v>
      </c>
      <c r="D2165" s="17" t="s">
        <v>12</v>
      </c>
    </row>
    <row r="2166" spans="1:4" ht="21.75" customHeight="1">
      <c r="A2166" s="15" t="s">
        <v>58</v>
      </c>
      <c r="B2166" s="16" t="s">
        <v>8</v>
      </c>
      <c r="C2166" s="15" t="str">
        <f>"20190117217"</f>
        <v>20190117217</v>
      </c>
      <c r="D2166" s="17">
        <v>47.5</v>
      </c>
    </row>
    <row r="2167" spans="1:4" ht="21.75" customHeight="1">
      <c r="A2167" s="15" t="s">
        <v>58</v>
      </c>
      <c r="B2167" s="16" t="s">
        <v>8</v>
      </c>
      <c r="C2167" s="15" t="str">
        <f>"20190117218"</f>
        <v>20190117218</v>
      </c>
      <c r="D2167" s="17">
        <v>55</v>
      </c>
    </row>
    <row r="2168" spans="1:4" ht="21.75" customHeight="1">
      <c r="A2168" s="15" t="s">
        <v>58</v>
      </c>
      <c r="B2168" s="16" t="s">
        <v>8</v>
      </c>
      <c r="C2168" s="15" t="str">
        <f>"20190117219"</f>
        <v>20190117219</v>
      </c>
      <c r="D2168" s="17">
        <v>52</v>
      </c>
    </row>
    <row r="2169" spans="1:4" ht="21.75" customHeight="1">
      <c r="A2169" s="15" t="s">
        <v>58</v>
      </c>
      <c r="B2169" s="16" t="s">
        <v>8</v>
      </c>
      <c r="C2169" s="15" t="str">
        <f>"20190117220"</f>
        <v>20190117220</v>
      </c>
      <c r="D2169" s="17">
        <v>64.5</v>
      </c>
    </row>
    <row r="2170" spans="1:4" ht="21.75" customHeight="1">
      <c r="A2170" s="15" t="s">
        <v>58</v>
      </c>
      <c r="B2170" s="16" t="s">
        <v>8</v>
      </c>
      <c r="C2170" s="15" t="str">
        <f>"20190117221"</f>
        <v>20190117221</v>
      </c>
      <c r="D2170" s="17" t="s">
        <v>12</v>
      </c>
    </row>
    <row r="2171" spans="1:4" ht="21.75" customHeight="1">
      <c r="A2171" s="15" t="s">
        <v>58</v>
      </c>
      <c r="B2171" s="16" t="s">
        <v>8</v>
      </c>
      <c r="C2171" s="15" t="str">
        <f>"20190117222"</f>
        <v>20190117222</v>
      </c>
      <c r="D2171" s="17">
        <v>54</v>
      </c>
    </row>
    <row r="2172" spans="1:4" ht="21.75" customHeight="1">
      <c r="A2172" s="15" t="s">
        <v>58</v>
      </c>
      <c r="B2172" s="16" t="s">
        <v>8</v>
      </c>
      <c r="C2172" s="15" t="str">
        <f>"20190117223"</f>
        <v>20190117223</v>
      </c>
      <c r="D2172" s="17">
        <v>65.5</v>
      </c>
    </row>
    <row r="2173" spans="1:4" ht="21.75" customHeight="1">
      <c r="A2173" s="15" t="s">
        <v>58</v>
      </c>
      <c r="B2173" s="16" t="s">
        <v>8</v>
      </c>
      <c r="C2173" s="15" t="str">
        <f>"20190117224"</f>
        <v>20190117224</v>
      </c>
      <c r="D2173" s="17" t="s">
        <v>12</v>
      </c>
    </row>
    <row r="2174" spans="1:4" ht="21.75" customHeight="1">
      <c r="A2174" s="15" t="s">
        <v>58</v>
      </c>
      <c r="B2174" s="16" t="s">
        <v>8</v>
      </c>
      <c r="C2174" s="15" t="str">
        <f>"20190117225"</f>
        <v>20190117225</v>
      </c>
      <c r="D2174" s="17">
        <v>66.5</v>
      </c>
    </row>
    <row r="2175" spans="1:4" ht="21.75" customHeight="1">
      <c r="A2175" s="15" t="s">
        <v>58</v>
      </c>
      <c r="B2175" s="16" t="s">
        <v>8</v>
      </c>
      <c r="C2175" s="15" t="str">
        <f>"20190117226"</f>
        <v>20190117226</v>
      </c>
      <c r="D2175" s="17" t="s">
        <v>12</v>
      </c>
    </row>
    <row r="2176" spans="1:4" ht="21.75" customHeight="1">
      <c r="A2176" s="15" t="s">
        <v>58</v>
      </c>
      <c r="B2176" s="16" t="s">
        <v>8</v>
      </c>
      <c r="C2176" s="15" t="str">
        <f>"20190117227"</f>
        <v>20190117227</v>
      </c>
      <c r="D2176" s="17">
        <v>52</v>
      </c>
    </row>
    <row r="2177" spans="1:4" ht="21.75" customHeight="1">
      <c r="A2177" s="15" t="s">
        <v>58</v>
      </c>
      <c r="B2177" s="16" t="s">
        <v>8</v>
      </c>
      <c r="C2177" s="15" t="str">
        <f>"20190117228"</f>
        <v>20190117228</v>
      </c>
      <c r="D2177" s="17" t="s">
        <v>12</v>
      </c>
    </row>
    <row r="2178" spans="1:4" ht="21.75" customHeight="1">
      <c r="A2178" s="15" t="s">
        <v>58</v>
      </c>
      <c r="B2178" s="16" t="s">
        <v>8</v>
      </c>
      <c r="C2178" s="15" t="str">
        <f>"20190117229"</f>
        <v>20190117229</v>
      </c>
      <c r="D2178" s="17" t="s">
        <v>12</v>
      </c>
    </row>
    <row r="2179" spans="1:5" ht="21.75" customHeight="1">
      <c r="A2179" s="15" t="s">
        <v>58</v>
      </c>
      <c r="B2179" s="16" t="s">
        <v>8</v>
      </c>
      <c r="C2179" s="15" t="str">
        <f>"20190117230"</f>
        <v>20190117230</v>
      </c>
      <c r="D2179" s="17">
        <v>68.5</v>
      </c>
      <c r="E2179" s="18" t="s">
        <v>9</v>
      </c>
    </row>
    <row r="2180" spans="1:4" ht="21.75" customHeight="1">
      <c r="A2180" s="15" t="s">
        <v>58</v>
      </c>
      <c r="B2180" s="16" t="s">
        <v>8</v>
      </c>
      <c r="C2180" s="15" t="str">
        <f>"20190117301"</f>
        <v>20190117301</v>
      </c>
      <c r="D2180" s="17">
        <v>58</v>
      </c>
    </row>
    <row r="2181" spans="1:4" ht="21.75" customHeight="1">
      <c r="A2181" s="15" t="s">
        <v>58</v>
      </c>
      <c r="B2181" s="16" t="s">
        <v>8</v>
      </c>
      <c r="C2181" s="15" t="str">
        <f>"20190117302"</f>
        <v>20190117302</v>
      </c>
      <c r="D2181" s="17">
        <v>59</v>
      </c>
    </row>
    <row r="2182" spans="1:4" ht="21.75" customHeight="1">
      <c r="A2182" s="15" t="s">
        <v>58</v>
      </c>
      <c r="B2182" s="16" t="s">
        <v>8</v>
      </c>
      <c r="C2182" s="15" t="str">
        <f>"20190117303"</f>
        <v>20190117303</v>
      </c>
      <c r="D2182" s="17">
        <v>57</v>
      </c>
    </row>
    <row r="2183" spans="1:4" ht="21.75" customHeight="1">
      <c r="A2183" s="15" t="s">
        <v>58</v>
      </c>
      <c r="B2183" s="16" t="s">
        <v>8</v>
      </c>
      <c r="C2183" s="15" t="str">
        <f>"20190117304"</f>
        <v>20190117304</v>
      </c>
      <c r="D2183" s="17">
        <v>46.5</v>
      </c>
    </row>
    <row r="2184" spans="1:4" ht="21.75" customHeight="1">
      <c r="A2184" s="15" t="s">
        <v>58</v>
      </c>
      <c r="B2184" s="16" t="s">
        <v>8</v>
      </c>
      <c r="C2184" s="15" t="str">
        <f>"20190117305"</f>
        <v>20190117305</v>
      </c>
      <c r="D2184" s="17">
        <v>58</v>
      </c>
    </row>
    <row r="2185" spans="1:4" ht="21.75" customHeight="1">
      <c r="A2185" s="15" t="s">
        <v>58</v>
      </c>
      <c r="B2185" s="16" t="s">
        <v>8</v>
      </c>
      <c r="C2185" s="15" t="str">
        <f>"20190117306"</f>
        <v>20190117306</v>
      </c>
      <c r="D2185" s="17">
        <v>56.5</v>
      </c>
    </row>
    <row r="2186" spans="1:4" ht="21.75" customHeight="1">
      <c r="A2186" s="15" t="s">
        <v>58</v>
      </c>
      <c r="B2186" s="16" t="s">
        <v>8</v>
      </c>
      <c r="C2186" s="15" t="str">
        <f>"20190117307"</f>
        <v>20190117307</v>
      </c>
      <c r="D2186" s="17">
        <v>60</v>
      </c>
    </row>
    <row r="2187" spans="1:5" ht="21.75" customHeight="1">
      <c r="A2187" s="15" t="s">
        <v>58</v>
      </c>
      <c r="B2187" s="16" t="s">
        <v>8</v>
      </c>
      <c r="C2187" s="15" t="str">
        <f>"20190117308"</f>
        <v>20190117308</v>
      </c>
      <c r="D2187" s="17">
        <v>69</v>
      </c>
      <c r="E2187" s="18" t="s">
        <v>9</v>
      </c>
    </row>
    <row r="2188" spans="1:4" ht="21.75" customHeight="1">
      <c r="A2188" s="15" t="s">
        <v>58</v>
      </c>
      <c r="B2188" s="16" t="s">
        <v>8</v>
      </c>
      <c r="C2188" s="15" t="str">
        <f>"20190117309"</f>
        <v>20190117309</v>
      </c>
      <c r="D2188" s="17">
        <v>60</v>
      </c>
    </row>
    <row r="2189" spans="1:4" ht="21.75" customHeight="1">
      <c r="A2189" s="15" t="s">
        <v>58</v>
      </c>
      <c r="B2189" s="16" t="s">
        <v>8</v>
      </c>
      <c r="C2189" s="15" t="str">
        <f>"20190117310"</f>
        <v>20190117310</v>
      </c>
      <c r="D2189" s="17">
        <v>61</v>
      </c>
    </row>
    <row r="2190" spans="1:4" ht="21.75" customHeight="1">
      <c r="A2190" s="15" t="s">
        <v>58</v>
      </c>
      <c r="B2190" s="16" t="s">
        <v>8</v>
      </c>
      <c r="C2190" s="15" t="str">
        <f>"20190117311"</f>
        <v>20190117311</v>
      </c>
      <c r="D2190" s="17">
        <v>60.5</v>
      </c>
    </row>
    <row r="2191" spans="1:4" ht="21.75" customHeight="1">
      <c r="A2191" s="15" t="s">
        <v>58</v>
      </c>
      <c r="B2191" s="16" t="s">
        <v>8</v>
      </c>
      <c r="C2191" s="15" t="str">
        <f>"20190117312"</f>
        <v>20190117312</v>
      </c>
      <c r="D2191" s="17" t="s">
        <v>12</v>
      </c>
    </row>
    <row r="2192" spans="1:4" ht="21.75" customHeight="1">
      <c r="A2192" s="15" t="s">
        <v>58</v>
      </c>
      <c r="B2192" s="16" t="s">
        <v>8</v>
      </c>
      <c r="C2192" s="15" t="str">
        <f>"20190117313"</f>
        <v>20190117313</v>
      </c>
      <c r="D2192" s="17">
        <v>58</v>
      </c>
    </row>
    <row r="2193" spans="1:4" ht="21.75" customHeight="1">
      <c r="A2193" s="15" t="s">
        <v>58</v>
      </c>
      <c r="B2193" s="16" t="s">
        <v>8</v>
      </c>
      <c r="C2193" s="15" t="str">
        <f>"20190117314"</f>
        <v>20190117314</v>
      </c>
      <c r="D2193" s="17" t="s">
        <v>12</v>
      </c>
    </row>
    <row r="2194" spans="1:4" ht="21.75" customHeight="1">
      <c r="A2194" s="15" t="s">
        <v>58</v>
      </c>
      <c r="B2194" s="16" t="s">
        <v>8</v>
      </c>
      <c r="C2194" s="15" t="str">
        <f>"20190117315"</f>
        <v>20190117315</v>
      </c>
      <c r="D2194" s="17">
        <v>57.5</v>
      </c>
    </row>
    <row r="2195" spans="1:4" ht="21.75" customHeight="1">
      <c r="A2195" s="15" t="s">
        <v>58</v>
      </c>
      <c r="B2195" s="16" t="s">
        <v>8</v>
      </c>
      <c r="C2195" s="15" t="str">
        <f>"20190117316"</f>
        <v>20190117316</v>
      </c>
      <c r="D2195" s="17" t="s">
        <v>12</v>
      </c>
    </row>
    <row r="2196" spans="1:4" ht="21.75" customHeight="1">
      <c r="A2196" s="15" t="s">
        <v>58</v>
      </c>
      <c r="B2196" s="16" t="s">
        <v>8</v>
      </c>
      <c r="C2196" s="15" t="str">
        <f>"20190117317"</f>
        <v>20190117317</v>
      </c>
      <c r="D2196" s="17">
        <v>60.5</v>
      </c>
    </row>
    <row r="2197" spans="1:4" ht="21.75" customHeight="1">
      <c r="A2197" s="15" t="s">
        <v>58</v>
      </c>
      <c r="B2197" s="16" t="s">
        <v>8</v>
      </c>
      <c r="C2197" s="15" t="str">
        <f>"20190117318"</f>
        <v>20190117318</v>
      </c>
      <c r="D2197" s="17">
        <v>45.5</v>
      </c>
    </row>
    <row r="2198" spans="1:4" ht="21.75" customHeight="1">
      <c r="A2198" s="15" t="s">
        <v>58</v>
      </c>
      <c r="B2198" s="16" t="s">
        <v>8</v>
      </c>
      <c r="C2198" s="15" t="str">
        <f>"20190117319"</f>
        <v>20190117319</v>
      </c>
      <c r="D2198" s="17">
        <v>50</v>
      </c>
    </row>
    <row r="2199" spans="1:4" ht="21.75" customHeight="1">
      <c r="A2199" s="15" t="s">
        <v>58</v>
      </c>
      <c r="B2199" s="16" t="s">
        <v>8</v>
      </c>
      <c r="C2199" s="15" t="str">
        <f>"20190117320"</f>
        <v>20190117320</v>
      </c>
      <c r="D2199" s="17">
        <v>50</v>
      </c>
    </row>
    <row r="2200" spans="1:4" ht="21.75" customHeight="1">
      <c r="A2200" s="15" t="s">
        <v>58</v>
      </c>
      <c r="B2200" s="16" t="s">
        <v>8</v>
      </c>
      <c r="C2200" s="15" t="str">
        <f>"20190117321"</f>
        <v>20190117321</v>
      </c>
      <c r="D2200" s="17">
        <v>65.5</v>
      </c>
    </row>
    <row r="2201" spans="1:4" ht="21.75" customHeight="1">
      <c r="A2201" s="15" t="s">
        <v>58</v>
      </c>
      <c r="B2201" s="16" t="s">
        <v>8</v>
      </c>
      <c r="C2201" s="15" t="str">
        <f>"20190117322"</f>
        <v>20190117322</v>
      </c>
      <c r="D2201" s="17">
        <v>58.5</v>
      </c>
    </row>
    <row r="2202" spans="1:5" ht="21.75" customHeight="1">
      <c r="A2202" s="15" t="s">
        <v>58</v>
      </c>
      <c r="B2202" s="16" t="s">
        <v>8</v>
      </c>
      <c r="C2202" s="15" t="str">
        <f>"20190117323"</f>
        <v>20190117323</v>
      </c>
      <c r="D2202" s="17">
        <v>63</v>
      </c>
      <c r="E2202" s="19"/>
    </row>
    <row r="2203" spans="1:5" ht="21.75" customHeight="1">
      <c r="A2203" s="15" t="s">
        <v>58</v>
      </c>
      <c r="B2203" s="16" t="s">
        <v>8</v>
      </c>
      <c r="C2203" s="15" t="str">
        <f>"20190117324"</f>
        <v>20190117324</v>
      </c>
      <c r="D2203" s="17">
        <v>53</v>
      </c>
      <c r="E2203" s="19"/>
    </row>
    <row r="2204" spans="1:5" ht="21.75" customHeight="1">
      <c r="A2204" s="15" t="s">
        <v>58</v>
      </c>
      <c r="B2204" s="16" t="s">
        <v>8</v>
      </c>
      <c r="C2204" s="15" t="str">
        <f>"20190117325"</f>
        <v>20190117325</v>
      </c>
      <c r="D2204" s="17">
        <v>58.5</v>
      </c>
      <c r="E2204" s="19"/>
    </row>
    <row r="2205" spans="1:4" ht="21.75" customHeight="1">
      <c r="A2205" s="15" t="s">
        <v>58</v>
      </c>
      <c r="B2205" s="16" t="s">
        <v>8</v>
      </c>
      <c r="C2205" s="15" t="str">
        <f>"20190117326"</f>
        <v>20190117326</v>
      </c>
      <c r="D2205" s="17">
        <v>60.5</v>
      </c>
    </row>
    <row r="2206" spans="1:4" ht="21.75" customHeight="1">
      <c r="A2206" s="15" t="s">
        <v>58</v>
      </c>
      <c r="B2206" s="16" t="s">
        <v>8</v>
      </c>
      <c r="C2206" s="15" t="str">
        <f>"20190117327"</f>
        <v>20190117327</v>
      </c>
      <c r="D2206" s="17">
        <v>62</v>
      </c>
    </row>
    <row r="2207" spans="1:4" ht="21.75" customHeight="1">
      <c r="A2207" s="15" t="s">
        <v>58</v>
      </c>
      <c r="B2207" s="16" t="s">
        <v>8</v>
      </c>
      <c r="C2207" s="15" t="str">
        <f>"20190117328"</f>
        <v>20190117328</v>
      </c>
      <c r="D2207" s="17" t="s">
        <v>12</v>
      </c>
    </row>
    <row r="2208" spans="1:4" ht="21.75" customHeight="1">
      <c r="A2208" s="15" t="s">
        <v>58</v>
      </c>
      <c r="B2208" s="16" t="s">
        <v>8</v>
      </c>
      <c r="C2208" s="15" t="str">
        <f>"20190117329"</f>
        <v>20190117329</v>
      </c>
      <c r="D2208" s="17">
        <v>67</v>
      </c>
    </row>
    <row r="2209" spans="1:4" ht="21.75" customHeight="1">
      <c r="A2209" s="15" t="s">
        <v>58</v>
      </c>
      <c r="B2209" s="16" t="s">
        <v>8</v>
      </c>
      <c r="C2209" s="15" t="str">
        <f>"20190117330"</f>
        <v>20190117330</v>
      </c>
      <c r="D2209" s="17">
        <v>59</v>
      </c>
    </row>
    <row r="2210" spans="1:5" ht="21.75" customHeight="1">
      <c r="A2210" s="15" t="s">
        <v>58</v>
      </c>
      <c r="B2210" s="16" t="s">
        <v>8</v>
      </c>
      <c r="C2210" s="15" t="str">
        <f>"20190117401"</f>
        <v>20190117401</v>
      </c>
      <c r="D2210" s="17">
        <v>68.5</v>
      </c>
      <c r="E2210" s="18" t="s">
        <v>9</v>
      </c>
    </row>
    <row r="2211" spans="1:4" ht="21.75" customHeight="1">
      <c r="A2211" s="15" t="s">
        <v>58</v>
      </c>
      <c r="B2211" s="16" t="s">
        <v>8</v>
      </c>
      <c r="C2211" s="15" t="str">
        <f>"20190117402"</f>
        <v>20190117402</v>
      </c>
      <c r="D2211" s="17">
        <v>61.5</v>
      </c>
    </row>
    <row r="2212" spans="1:4" ht="21.75" customHeight="1">
      <c r="A2212" s="15" t="s">
        <v>58</v>
      </c>
      <c r="B2212" s="16" t="s">
        <v>8</v>
      </c>
      <c r="C2212" s="15" t="str">
        <f>"20190117403"</f>
        <v>20190117403</v>
      </c>
      <c r="D2212" s="17">
        <v>66</v>
      </c>
    </row>
    <row r="2213" spans="1:4" ht="21.75" customHeight="1">
      <c r="A2213" s="15" t="s">
        <v>58</v>
      </c>
      <c r="B2213" s="16" t="s">
        <v>8</v>
      </c>
      <c r="C2213" s="15" t="str">
        <f>"20190117404"</f>
        <v>20190117404</v>
      </c>
      <c r="D2213" s="17">
        <v>63.5</v>
      </c>
    </row>
    <row r="2214" spans="1:4" ht="21.75" customHeight="1">
      <c r="A2214" s="15" t="s">
        <v>58</v>
      </c>
      <c r="B2214" s="16" t="s">
        <v>8</v>
      </c>
      <c r="C2214" s="15" t="str">
        <f>"20190117405"</f>
        <v>20190117405</v>
      </c>
      <c r="D2214" s="17">
        <v>65</v>
      </c>
    </row>
    <row r="2215" spans="1:4" ht="21.75" customHeight="1">
      <c r="A2215" s="15" t="s">
        <v>58</v>
      </c>
      <c r="B2215" s="16" t="s">
        <v>8</v>
      </c>
      <c r="C2215" s="15" t="str">
        <f>"20190117406"</f>
        <v>20190117406</v>
      </c>
      <c r="D2215" s="17" t="s">
        <v>12</v>
      </c>
    </row>
    <row r="2216" spans="1:4" ht="21.75" customHeight="1">
      <c r="A2216" s="15" t="s">
        <v>58</v>
      </c>
      <c r="B2216" s="16" t="s">
        <v>8</v>
      </c>
      <c r="C2216" s="15" t="str">
        <f>"20190117407"</f>
        <v>20190117407</v>
      </c>
      <c r="D2216" s="17" t="s">
        <v>12</v>
      </c>
    </row>
    <row r="2217" spans="1:4" ht="21.75" customHeight="1">
      <c r="A2217" s="15" t="s">
        <v>58</v>
      </c>
      <c r="B2217" s="16" t="s">
        <v>8</v>
      </c>
      <c r="C2217" s="15" t="str">
        <f>"20190117408"</f>
        <v>20190117408</v>
      </c>
      <c r="D2217" s="17">
        <v>62</v>
      </c>
    </row>
    <row r="2218" spans="1:4" ht="21.75" customHeight="1">
      <c r="A2218" s="15" t="s">
        <v>58</v>
      </c>
      <c r="B2218" s="16" t="s">
        <v>8</v>
      </c>
      <c r="C2218" s="15" t="str">
        <f>"20190117409"</f>
        <v>20190117409</v>
      </c>
      <c r="D2218" s="17">
        <v>56.5</v>
      </c>
    </row>
    <row r="2219" spans="1:4" ht="21.75" customHeight="1">
      <c r="A2219" s="15" t="s">
        <v>58</v>
      </c>
      <c r="B2219" s="16" t="s">
        <v>8</v>
      </c>
      <c r="C2219" s="15" t="str">
        <f>"20190117410"</f>
        <v>20190117410</v>
      </c>
      <c r="D2219" s="17">
        <v>64</v>
      </c>
    </row>
    <row r="2220" spans="1:4" ht="21.75" customHeight="1">
      <c r="A2220" s="15" t="s">
        <v>58</v>
      </c>
      <c r="B2220" s="16" t="s">
        <v>8</v>
      </c>
      <c r="C2220" s="15" t="str">
        <f>"20190117411"</f>
        <v>20190117411</v>
      </c>
      <c r="D2220" s="17">
        <v>57.5</v>
      </c>
    </row>
    <row r="2221" spans="1:4" ht="21.75" customHeight="1">
      <c r="A2221" s="15" t="s">
        <v>58</v>
      </c>
      <c r="B2221" s="16" t="s">
        <v>8</v>
      </c>
      <c r="C2221" s="15" t="str">
        <f>"20190117412"</f>
        <v>20190117412</v>
      </c>
      <c r="D2221" s="17">
        <v>48.5</v>
      </c>
    </row>
    <row r="2222" spans="1:4" ht="21.75" customHeight="1">
      <c r="A2222" s="15" t="s">
        <v>58</v>
      </c>
      <c r="B2222" s="16" t="s">
        <v>8</v>
      </c>
      <c r="C2222" s="15" t="str">
        <f>"20190117413"</f>
        <v>20190117413</v>
      </c>
      <c r="D2222" s="17">
        <v>62.5</v>
      </c>
    </row>
    <row r="2223" spans="1:4" ht="21.75" customHeight="1">
      <c r="A2223" s="15" t="s">
        <v>58</v>
      </c>
      <c r="B2223" s="16" t="s">
        <v>8</v>
      </c>
      <c r="C2223" s="15" t="str">
        <f>"20190117414"</f>
        <v>20190117414</v>
      </c>
      <c r="D2223" s="17">
        <v>59</v>
      </c>
    </row>
    <row r="2224" spans="1:4" ht="21.75" customHeight="1">
      <c r="A2224" s="15" t="s">
        <v>58</v>
      </c>
      <c r="B2224" s="16" t="s">
        <v>8</v>
      </c>
      <c r="C2224" s="15" t="str">
        <f>"20190117415"</f>
        <v>20190117415</v>
      </c>
      <c r="D2224" s="17">
        <v>48</v>
      </c>
    </row>
    <row r="2225" spans="1:4" ht="21.75" customHeight="1">
      <c r="A2225" s="15" t="s">
        <v>58</v>
      </c>
      <c r="B2225" s="16" t="s">
        <v>8</v>
      </c>
      <c r="C2225" s="15" t="str">
        <f>"20190117416"</f>
        <v>20190117416</v>
      </c>
      <c r="D2225" s="17">
        <v>61</v>
      </c>
    </row>
    <row r="2226" spans="1:4" ht="21.75" customHeight="1">
      <c r="A2226" s="15" t="s">
        <v>58</v>
      </c>
      <c r="B2226" s="16" t="s">
        <v>8</v>
      </c>
      <c r="C2226" s="15" t="str">
        <f>"20190117417"</f>
        <v>20190117417</v>
      </c>
      <c r="D2226" s="17">
        <v>60.5</v>
      </c>
    </row>
    <row r="2227" spans="1:4" ht="21.75" customHeight="1">
      <c r="A2227" s="15" t="s">
        <v>58</v>
      </c>
      <c r="B2227" s="16" t="s">
        <v>8</v>
      </c>
      <c r="C2227" s="15" t="str">
        <f>"20190117418"</f>
        <v>20190117418</v>
      </c>
      <c r="D2227" s="17">
        <v>66</v>
      </c>
    </row>
    <row r="2228" spans="1:4" ht="21.75" customHeight="1">
      <c r="A2228" s="15" t="s">
        <v>58</v>
      </c>
      <c r="B2228" s="16" t="s">
        <v>8</v>
      </c>
      <c r="C2228" s="15" t="str">
        <f>"20190117419"</f>
        <v>20190117419</v>
      </c>
      <c r="D2228" s="17">
        <v>65.5</v>
      </c>
    </row>
    <row r="2229" spans="1:4" ht="21.75" customHeight="1">
      <c r="A2229" s="15" t="s">
        <v>58</v>
      </c>
      <c r="B2229" s="16" t="s">
        <v>8</v>
      </c>
      <c r="C2229" s="15" t="str">
        <f>"20190117420"</f>
        <v>20190117420</v>
      </c>
      <c r="D2229" s="17">
        <v>62</v>
      </c>
    </row>
    <row r="2230" spans="1:4" ht="21.75" customHeight="1">
      <c r="A2230" s="15" t="s">
        <v>58</v>
      </c>
      <c r="B2230" s="16" t="s">
        <v>8</v>
      </c>
      <c r="C2230" s="15" t="str">
        <f>"20190117421"</f>
        <v>20190117421</v>
      </c>
      <c r="D2230" s="17">
        <v>57</v>
      </c>
    </row>
    <row r="2231" spans="1:4" ht="21.75" customHeight="1">
      <c r="A2231" s="15" t="s">
        <v>58</v>
      </c>
      <c r="B2231" s="16" t="s">
        <v>8</v>
      </c>
      <c r="C2231" s="15" t="str">
        <f>"20190117422"</f>
        <v>20190117422</v>
      </c>
      <c r="D2231" s="17">
        <v>58.5</v>
      </c>
    </row>
    <row r="2232" spans="1:4" ht="21.75" customHeight="1">
      <c r="A2232" s="15" t="s">
        <v>58</v>
      </c>
      <c r="B2232" s="16" t="s">
        <v>8</v>
      </c>
      <c r="C2232" s="15" t="str">
        <f>"20190117423"</f>
        <v>20190117423</v>
      </c>
      <c r="D2232" s="17">
        <v>61</v>
      </c>
    </row>
    <row r="2233" spans="1:4" ht="21.75" customHeight="1">
      <c r="A2233" s="15" t="s">
        <v>58</v>
      </c>
      <c r="B2233" s="16" t="s">
        <v>8</v>
      </c>
      <c r="C2233" s="15" t="str">
        <f>"20190117424"</f>
        <v>20190117424</v>
      </c>
      <c r="D2233" s="17">
        <v>59.5</v>
      </c>
    </row>
    <row r="2234" spans="1:4" ht="21.75" customHeight="1">
      <c r="A2234" s="15" t="s">
        <v>58</v>
      </c>
      <c r="B2234" s="16" t="s">
        <v>8</v>
      </c>
      <c r="C2234" s="15" t="str">
        <f>"20190117425"</f>
        <v>20190117425</v>
      </c>
      <c r="D2234" s="17">
        <v>61</v>
      </c>
    </row>
    <row r="2235" spans="1:4" ht="21.75" customHeight="1">
      <c r="A2235" s="15" t="s">
        <v>58</v>
      </c>
      <c r="B2235" s="16" t="s">
        <v>8</v>
      </c>
      <c r="C2235" s="15" t="str">
        <f>"20190117426"</f>
        <v>20190117426</v>
      </c>
      <c r="D2235" s="17" t="s">
        <v>12</v>
      </c>
    </row>
    <row r="2236" spans="1:4" ht="21.75" customHeight="1">
      <c r="A2236" s="15" t="s">
        <v>58</v>
      </c>
      <c r="B2236" s="16" t="s">
        <v>8</v>
      </c>
      <c r="C2236" s="15" t="str">
        <f>"20190117427"</f>
        <v>20190117427</v>
      </c>
      <c r="D2236" s="17">
        <v>63.5</v>
      </c>
    </row>
    <row r="2237" spans="1:4" ht="21.75" customHeight="1">
      <c r="A2237" s="15" t="s">
        <v>58</v>
      </c>
      <c r="B2237" s="16" t="s">
        <v>8</v>
      </c>
      <c r="C2237" s="15" t="str">
        <f>"20190117428"</f>
        <v>20190117428</v>
      </c>
      <c r="D2237" s="17" t="s">
        <v>12</v>
      </c>
    </row>
    <row r="2238" spans="1:4" ht="21.75" customHeight="1">
      <c r="A2238" s="15" t="s">
        <v>58</v>
      </c>
      <c r="B2238" s="16" t="s">
        <v>8</v>
      </c>
      <c r="C2238" s="15" t="str">
        <f>"20190117429"</f>
        <v>20190117429</v>
      </c>
      <c r="D2238" s="17">
        <v>60.5</v>
      </c>
    </row>
    <row r="2239" spans="1:4" ht="21.75" customHeight="1">
      <c r="A2239" s="15" t="s">
        <v>58</v>
      </c>
      <c r="B2239" s="16" t="s">
        <v>8</v>
      </c>
      <c r="C2239" s="15" t="str">
        <f>"20190117430"</f>
        <v>20190117430</v>
      </c>
      <c r="D2239" s="17">
        <v>56</v>
      </c>
    </row>
    <row r="2240" spans="1:4" ht="21.75" customHeight="1">
      <c r="A2240" s="15" t="s">
        <v>58</v>
      </c>
      <c r="B2240" s="16" t="s">
        <v>8</v>
      </c>
      <c r="C2240" s="15" t="str">
        <f>"20190117501"</f>
        <v>20190117501</v>
      </c>
      <c r="D2240" s="17">
        <v>55</v>
      </c>
    </row>
    <row r="2241" spans="1:4" ht="21.75" customHeight="1">
      <c r="A2241" s="15" t="s">
        <v>58</v>
      </c>
      <c r="B2241" s="16" t="s">
        <v>8</v>
      </c>
      <c r="C2241" s="15" t="str">
        <f>"20190117502"</f>
        <v>20190117502</v>
      </c>
      <c r="D2241" s="17">
        <v>62.5</v>
      </c>
    </row>
    <row r="2242" spans="1:4" ht="21.75" customHeight="1">
      <c r="A2242" s="15" t="s">
        <v>58</v>
      </c>
      <c r="B2242" s="16" t="s">
        <v>8</v>
      </c>
      <c r="C2242" s="15" t="str">
        <f>"20190117503"</f>
        <v>20190117503</v>
      </c>
      <c r="D2242" s="17" t="s">
        <v>12</v>
      </c>
    </row>
    <row r="2243" spans="1:4" ht="21.75" customHeight="1">
      <c r="A2243" s="15" t="s">
        <v>58</v>
      </c>
      <c r="B2243" s="16" t="s">
        <v>8</v>
      </c>
      <c r="C2243" s="15" t="str">
        <f>"20190117504"</f>
        <v>20190117504</v>
      </c>
      <c r="D2243" s="17">
        <v>49.5</v>
      </c>
    </row>
    <row r="2244" spans="1:4" ht="21.75" customHeight="1">
      <c r="A2244" s="15" t="s">
        <v>58</v>
      </c>
      <c r="B2244" s="16" t="s">
        <v>8</v>
      </c>
      <c r="C2244" s="15" t="str">
        <f>"20190117505"</f>
        <v>20190117505</v>
      </c>
      <c r="D2244" s="17">
        <v>51.5</v>
      </c>
    </row>
    <row r="2245" spans="1:4" ht="21.75" customHeight="1">
      <c r="A2245" s="15" t="s">
        <v>58</v>
      </c>
      <c r="B2245" s="16" t="s">
        <v>8</v>
      </c>
      <c r="C2245" s="15" t="str">
        <f>"20190117506"</f>
        <v>20190117506</v>
      </c>
      <c r="D2245" s="17">
        <v>65.5</v>
      </c>
    </row>
    <row r="2246" spans="1:4" ht="21.75" customHeight="1">
      <c r="A2246" s="15" t="s">
        <v>58</v>
      </c>
      <c r="B2246" s="16" t="s">
        <v>8</v>
      </c>
      <c r="C2246" s="15" t="str">
        <f>"20190117507"</f>
        <v>20190117507</v>
      </c>
      <c r="D2246" s="17" t="s">
        <v>12</v>
      </c>
    </row>
    <row r="2247" spans="1:4" ht="21.75" customHeight="1">
      <c r="A2247" s="15" t="s">
        <v>58</v>
      </c>
      <c r="B2247" s="16" t="s">
        <v>8</v>
      </c>
      <c r="C2247" s="15" t="str">
        <f>"20190117508"</f>
        <v>20190117508</v>
      </c>
      <c r="D2247" s="17" t="s">
        <v>12</v>
      </c>
    </row>
    <row r="2248" spans="1:4" ht="21.75" customHeight="1">
      <c r="A2248" s="15" t="s">
        <v>58</v>
      </c>
      <c r="B2248" s="16" t="s">
        <v>8</v>
      </c>
      <c r="C2248" s="15" t="str">
        <f>"20190117509"</f>
        <v>20190117509</v>
      </c>
      <c r="D2248" s="17">
        <v>52</v>
      </c>
    </row>
    <row r="2249" spans="1:4" ht="21.75" customHeight="1">
      <c r="A2249" s="15" t="s">
        <v>58</v>
      </c>
      <c r="B2249" s="16" t="s">
        <v>8</v>
      </c>
      <c r="C2249" s="15" t="str">
        <f>"20190117510"</f>
        <v>20190117510</v>
      </c>
      <c r="D2249" s="17">
        <v>52</v>
      </c>
    </row>
    <row r="2250" spans="1:4" ht="21.75" customHeight="1">
      <c r="A2250" s="15" t="s">
        <v>58</v>
      </c>
      <c r="B2250" s="16" t="s">
        <v>8</v>
      </c>
      <c r="C2250" s="15" t="str">
        <f>"20190117511"</f>
        <v>20190117511</v>
      </c>
      <c r="D2250" s="17">
        <v>58.5</v>
      </c>
    </row>
    <row r="2251" spans="1:4" ht="21.75" customHeight="1">
      <c r="A2251" s="15" t="s">
        <v>58</v>
      </c>
      <c r="B2251" s="16" t="s">
        <v>8</v>
      </c>
      <c r="C2251" s="15" t="str">
        <f>"20190117512"</f>
        <v>20190117512</v>
      </c>
      <c r="D2251" s="17">
        <v>51</v>
      </c>
    </row>
    <row r="2252" spans="1:4" ht="21.75" customHeight="1">
      <c r="A2252" s="15" t="s">
        <v>58</v>
      </c>
      <c r="B2252" s="16" t="s">
        <v>8</v>
      </c>
      <c r="C2252" s="15" t="str">
        <f>"20190117513"</f>
        <v>20190117513</v>
      </c>
      <c r="D2252" s="17">
        <v>61</v>
      </c>
    </row>
    <row r="2253" spans="1:4" ht="21.75" customHeight="1">
      <c r="A2253" s="15" t="s">
        <v>58</v>
      </c>
      <c r="B2253" s="16" t="s">
        <v>8</v>
      </c>
      <c r="C2253" s="15" t="str">
        <f>"20190117514"</f>
        <v>20190117514</v>
      </c>
      <c r="D2253" s="17" t="s">
        <v>12</v>
      </c>
    </row>
    <row r="2254" spans="1:4" ht="21.75" customHeight="1">
      <c r="A2254" s="15" t="s">
        <v>58</v>
      </c>
      <c r="B2254" s="16" t="s">
        <v>8</v>
      </c>
      <c r="C2254" s="15" t="str">
        <f>"20190117515"</f>
        <v>20190117515</v>
      </c>
      <c r="D2254" s="17" t="s">
        <v>12</v>
      </c>
    </row>
    <row r="2255" spans="1:4" ht="21.75" customHeight="1">
      <c r="A2255" s="15" t="s">
        <v>58</v>
      </c>
      <c r="B2255" s="16" t="s">
        <v>8</v>
      </c>
      <c r="C2255" s="15" t="str">
        <f>"20190117516"</f>
        <v>20190117516</v>
      </c>
      <c r="D2255" s="17">
        <v>65.5</v>
      </c>
    </row>
    <row r="2256" spans="1:4" ht="21.75" customHeight="1">
      <c r="A2256" s="15" t="s">
        <v>58</v>
      </c>
      <c r="B2256" s="16" t="s">
        <v>8</v>
      </c>
      <c r="C2256" s="15" t="str">
        <f>"20190117517"</f>
        <v>20190117517</v>
      </c>
      <c r="D2256" s="17">
        <v>62.5</v>
      </c>
    </row>
    <row r="2257" spans="1:4" ht="21.75" customHeight="1">
      <c r="A2257" s="15" t="s">
        <v>58</v>
      </c>
      <c r="B2257" s="16" t="s">
        <v>8</v>
      </c>
      <c r="C2257" s="15" t="str">
        <f>"20190117518"</f>
        <v>20190117518</v>
      </c>
      <c r="D2257" s="17">
        <v>66</v>
      </c>
    </row>
    <row r="2258" spans="1:4" ht="21.75" customHeight="1">
      <c r="A2258" s="15" t="s">
        <v>58</v>
      </c>
      <c r="B2258" s="16" t="s">
        <v>8</v>
      </c>
      <c r="C2258" s="15" t="str">
        <f>"20190117519"</f>
        <v>20190117519</v>
      </c>
      <c r="D2258" s="17">
        <v>54</v>
      </c>
    </row>
    <row r="2259" spans="1:4" ht="21.75" customHeight="1">
      <c r="A2259" s="15" t="s">
        <v>58</v>
      </c>
      <c r="B2259" s="16" t="s">
        <v>8</v>
      </c>
      <c r="C2259" s="15" t="str">
        <f>"20190117520"</f>
        <v>20190117520</v>
      </c>
      <c r="D2259" s="17" t="s">
        <v>12</v>
      </c>
    </row>
    <row r="2260" spans="1:4" ht="21.75" customHeight="1">
      <c r="A2260" s="15" t="s">
        <v>58</v>
      </c>
      <c r="B2260" s="16" t="s">
        <v>8</v>
      </c>
      <c r="C2260" s="15" t="str">
        <f>"20190117521"</f>
        <v>20190117521</v>
      </c>
      <c r="D2260" s="17">
        <v>59</v>
      </c>
    </row>
    <row r="2261" spans="1:4" ht="21.75" customHeight="1">
      <c r="A2261" s="15" t="s">
        <v>58</v>
      </c>
      <c r="B2261" s="16" t="s">
        <v>8</v>
      </c>
      <c r="C2261" s="15" t="str">
        <f>"20190117522"</f>
        <v>20190117522</v>
      </c>
      <c r="D2261" s="17" t="s">
        <v>12</v>
      </c>
    </row>
    <row r="2262" spans="1:4" ht="21.75" customHeight="1">
      <c r="A2262" s="15" t="s">
        <v>58</v>
      </c>
      <c r="B2262" s="16" t="s">
        <v>8</v>
      </c>
      <c r="C2262" s="15" t="str">
        <f>"20190117523"</f>
        <v>20190117523</v>
      </c>
      <c r="D2262" s="17">
        <v>51</v>
      </c>
    </row>
    <row r="2263" spans="1:4" ht="21.75" customHeight="1">
      <c r="A2263" s="15" t="s">
        <v>58</v>
      </c>
      <c r="B2263" s="16" t="s">
        <v>8</v>
      </c>
      <c r="C2263" s="15" t="str">
        <f>"20190117524"</f>
        <v>20190117524</v>
      </c>
      <c r="D2263" s="17" t="s">
        <v>12</v>
      </c>
    </row>
    <row r="2264" spans="1:4" ht="21.75" customHeight="1">
      <c r="A2264" s="15" t="s">
        <v>58</v>
      </c>
      <c r="B2264" s="16" t="s">
        <v>8</v>
      </c>
      <c r="C2264" s="15" t="str">
        <f>"20190117525"</f>
        <v>20190117525</v>
      </c>
      <c r="D2264" s="17">
        <v>62.5</v>
      </c>
    </row>
    <row r="2265" spans="1:4" ht="21.75" customHeight="1">
      <c r="A2265" s="15" t="s">
        <v>58</v>
      </c>
      <c r="B2265" s="16" t="s">
        <v>8</v>
      </c>
      <c r="C2265" s="15" t="str">
        <f>"20190117526"</f>
        <v>20190117526</v>
      </c>
      <c r="D2265" s="17">
        <v>54.5</v>
      </c>
    </row>
    <row r="2266" spans="1:4" ht="21.75" customHeight="1">
      <c r="A2266" s="15" t="s">
        <v>58</v>
      </c>
      <c r="B2266" s="16" t="s">
        <v>8</v>
      </c>
      <c r="C2266" s="15" t="str">
        <f>"20190117527"</f>
        <v>20190117527</v>
      </c>
      <c r="D2266" s="17">
        <v>64.5</v>
      </c>
    </row>
    <row r="2267" spans="1:4" ht="21.75" customHeight="1">
      <c r="A2267" s="15" t="s">
        <v>58</v>
      </c>
      <c r="B2267" s="16" t="s">
        <v>8</v>
      </c>
      <c r="C2267" s="15" t="str">
        <f>"20190117528"</f>
        <v>20190117528</v>
      </c>
      <c r="D2267" s="17">
        <v>62.5</v>
      </c>
    </row>
    <row r="2268" spans="1:4" ht="21.75" customHeight="1">
      <c r="A2268" s="15" t="s">
        <v>58</v>
      </c>
      <c r="B2268" s="16" t="s">
        <v>8</v>
      </c>
      <c r="C2268" s="15" t="str">
        <f>"20190117529"</f>
        <v>20190117529</v>
      </c>
      <c r="D2268" s="17" t="s">
        <v>12</v>
      </c>
    </row>
    <row r="2269" spans="1:4" ht="21.75" customHeight="1">
      <c r="A2269" s="15" t="s">
        <v>58</v>
      </c>
      <c r="B2269" s="16" t="s">
        <v>8</v>
      </c>
      <c r="C2269" s="15" t="str">
        <f>"20190117530"</f>
        <v>20190117530</v>
      </c>
      <c r="D2269" s="17">
        <v>52</v>
      </c>
    </row>
    <row r="2270" spans="1:4" ht="21.75" customHeight="1">
      <c r="A2270" s="20" t="s">
        <v>59</v>
      </c>
      <c r="B2270" s="21" t="s">
        <v>60</v>
      </c>
      <c r="C2270" s="15" t="str">
        <f>"20190117601"</f>
        <v>20190117601</v>
      </c>
      <c r="D2270" s="17">
        <v>62</v>
      </c>
    </row>
    <row r="2271" spans="1:4" ht="21.75" customHeight="1">
      <c r="A2271" s="20" t="s">
        <v>59</v>
      </c>
      <c r="B2271" s="21" t="s">
        <v>60</v>
      </c>
      <c r="C2271" s="15" t="str">
        <f>"20190117602"</f>
        <v>20190117602</v>
      </c>
      <c r="D2271" s="17">
        <v>53.5</v>
      </c>
    </row>
    <row r="2272" spans="1:4" ht="21.75" customHeight="1">
      <c r="A2272" s="20" t="s">
        <v>59</v>
      </c>
      <c r="B2272" s="21" t="s">
        <v>60</v>
      </c>
      <c r="C2272" s="15" t="str">
        <f>"20190117603"</f>
        <v>20190117603</v>
      </c>
      <c r="D2272" s="17">
        <v>62</v>
      </c>
    </row>
    <row r="2273" spans="1:4" ht="21.75" customHeight="1">
      <c r="A2273" s="20" t="s">
        <v>59</v>
      </c>
      <c r="B2273" s="21" t="s">
        <v>60</v>
      </c>
      <c r="C2273" s="15" t="str">
        <f>"20190117604"</f>
        <v>20190117604</v>
      </c>
      <c r="D2273" s="17">
        <v>60</v>
      </c>
    </row>
    <row r="2274" spans="1:4" ht="21.75" customHeight="1">
      <c r="A2274" s="20" t="s">
        <v>59</v>
      </c>
      <c r="B2274" s="21" t="s">
        <v>60</v>
      </c>
      <c r="C2274" s="15" t="str">
        <f>"20190117605"</f>
        <v>20190117605</v>
      </c>
      <c r="D2274" s="17">
        <v>65.5</v>
      </c>
    </row>
    <row r="2275" spans="1:5" ht="21.75" customHeight="1">
      <c r="A2275" s="20" t="s">
        <v>59</v>
      </c>
      <c r="B2275" s="21" t="s">
        <v>60</v>
      </c>
      <c r="C2275" s="15" t="str">
        <f>"20190117606"</f>
        <v>20190117606</v>
      </c>
      <c r="D2275" s="17">
        <v>52.5</v>
      </c>
      <c r="E2275" s="19"/>
    </row>
    <row r="2276" spans="1:5" ht="21.75" customHeight="1">
      <c r="A2276" s="20" t="s">
        <v>59</v>
      </c>
      <c r="B2276" s="21" t="s">
        <v>60</v>
      </c>
      <c r="C2276" s="15" t="str">
        <f>"20190117607"</f>
        <v>20190117607</v>
      </c>
      <c r="D2276" s="17">
        <v>50.5</v>
      </c>
      <c r="E2276" s="19"/>
    </row>
    <row r="2277" spans="1:5" ht="21.75" customHeight="1">
      <c r="A2277" s="20" t="s">
        <v>59</v>
      </c>
      <c r="B2277" s="21" t="s">
        <v>60</v>
      </c>
      <c r="C2277" s="15" t="str">
        <f>"20190117608"</f>
        <v>20190117608</v>
      </c>
      <c r="D2277" s="17">
        <v>61.5</v>
      </c>
      <c r="E2277" s="19"/>
    </row>
    <row r="2278" spans="1:5" ht="21.75" customHeight="1">
      <c r="A2278" s="20" t="s">
        <v>59</v>
      </c>
      <c r="B2278" s="21" t="s">
        <v>60</v>
      </c>
      <c r="C2278" s="15" t="str">
        <f>"20190117609"</f>
        <v>20190117609</v>
      </c>
      <c r="D2278" s="17" t="s">
        <v>12</v>
      </c>
      <c r="E2278" s="19"/>
    </row>
    <row r="2279" spans="1:4" ht="21.75" customHeight="1">
      <c r="A2279" s="20" t="s">
        <v>59</v>
      </c>
      <c r="B2279" s="21" t="s">
        <v>60</v>
      </c>
      <c r="C2279" s="15" t="str">
        <f>"20190117610"</f>
        <v>20190117610</v>
      </c>
      <c r="D2279" s="17">
        <v>62</v>
      </c>
    </row>
    <row r="2280" spans="1:4" ht="21.75" customHeight="1">
      <c r="A2280" s="20" t="s">
        <v>59</v>
      </c>
      <c r="B2280" s="21" t="s">
        <v>60</v>
      </c>
      <c r="C2280" s="15" t="str">
        <f>"20190117611"</f>
        <v>20190117611</v>
      </c>
      <c r="D2280" s="17">
        <v>64.5</v>
      </c>
    </row>
    <row r="2281" spans="1:4" ht="21.75" customHeight="1">
      <c r="A2281" s="20" t="s">
        <v>59</v>
      </c>
      <c r="B2281" s="21" t="s">
        <v>60</v>
      </c>
      <c r="C2281" s="15" t="str">
        <f>"20190117612"</f>
        <v>20190117612</v>
      </c>
      <c r="D2281" s="17">
        <v>57.5</v>
      </c>
    </row>
    <row r="2282" spans="1:4" ht="21.75" customHeight="1">
      <c r="A2282" s="20" t="s">
        <v>59</v>
      </c>
      <c r="B2282" s="21" t="s">
        <v>60</v>
      </c>
      <c r="C2282" s="15" t="str">
        <f>"20190117613"</f>
        <v>20190117613</v>
      </c>
      <c r="D2282" s="17" t="s">
        <v>12</v>
      </c>
    </row>
    <row r="2283" spans="1:4" ht="21.75" customHeight="1">
      <c r="A2283" s="20" t="s">
        <v>59</v>
      </c>
      <c r="B2283" s="21" t="s">
        <v>60</v>
      </c>
      <c r="C2283" s="15" t="str">
        <f>"20190117614"</f>
        <v>20190117614</v>
      </c>
      <c r="D2283" s="17">
        <v>51</v>
      </c>
    </row>
    <row r="2284" spans="1:4" ht="21.75" customHeight="1">
      <c r="A2284" s="20" t="s">
        <v>59</v>
      </c>
      <c r="B2284" s="21" t="s">
        <v>60</v>
      </c>
      <c r="C2284" s="15" t="str">
        <f>"20190117615"</f>
        <v>20190117615</v>
      </c>
      <c r="D2284" s="17">
        <v>62</v>
      </c>
    </row>
    <row r="2285" spans="1:4" ht="21.75" customHeight="1">
      <c r="A2285" s="20" t="s">
        <v>59</v>
      </c>
      <c r="B2285" s="21" t="s">
        <v>60</v>
      </c>
      <c r="C2285" s="15" t="str">
        <f>"20190117616"</f>
        <v>20190117616</v>
      </c>
      <c r="D2285" s="17">
        <v>54</v>
      </c>
    </row>
    <row r="2286" spans="1:4" ht="21.75" customHeight="1">
      <c r="A2286" s="20" t="s">
        <v>59</v>
      </c>
      <c r="B2286" s="21" t="s">
        <v>60</v>
      </c>
      <c r="C2286" s="15" t="str">
        <f>"20190117617"</f>
        <v>20190117617</v>
      </c>
      <c r="D2286" s="17" t="s">
        <v>12</v>
      </c>
    </row>
    <row r="2287" spans="1:4" ht="21.75" customHeight="1">
      <c r="A2287" s="20" t="s">
        <v>59</v>
      </c>
      <c r="B2287" s="21" t="s">
        <v>60</v>
      </c>
      <c r="C2287" s="15" t="str">
        <f>"20190117618"</f>
        <v>20190117618</v>
      </c>
      <c r="D2287" s="17">
        <v>62.5</v>
      </c>
    </row>
    <row r="2288" spans="1:4" ht="21.75" customHeight="1">
      <c r="A2288" s="20" t="s">
        <v>59</v>
      </c>
      <c r="B2288" s="21" t="s">
        <v>60</v>
      </c>
      <c r="C2288" s="15" t="str">
        <f>"20190117619"</f>
        <v>20190117619</v>
      </c>
      <c r="D2288" s="17">
        <v>61.5</v>
      </c>
    </row>
    <row r="2289" spans="1:4" ht="21.75" customHeight="1">
      <c r="A2289" s="20" t="s">
        <v>59</v>
      </c>
      <c r="B2289" s="21" t="s">
        <v>60</v>
      </c>
      <c r="C2289" s="15" t="str">
        <f>"20190117620"</f>
        <v>20190117620</v>
      </c>
      <c r="D2289" s="17">
        <v>59</v>
      </c>
    </row>
    <row r="2290" spans="1:4" ht="21.75" customHeight="1">
      <c r="A2290" s="20" t="s">
        <v>59</v>
      </c>
      <c r="B2290" s="21" t="s">
        <v>60</v>
      </c>
      <c r="C2290" s="15" t="str">
        <f>"20190117621"</f>
        <v>20190117621</v>
      </c>
      <c r="D2290" s="17" t="s">
        <v>12</v>
      </c>
    </row>
    <row r="2291" spans="1:4" ht="21.75" customHeight="1">
      <c r="A2291" s="20" t="s">
        <v>59</v>
      </c>
      <c r="B2291" s="21" t="s">
        <v>60</v>
      </c>
      <c r="C2291" s="15" t="str">
        <f>"20190117622"</f>
        <v>20190117622</v>
      </c>
      <c r="D2291" s="17">
        <v>57.5</v>
      </c>
    </row>
    <row r="2292" spans="1:4" ht="21.75" customHeight="1">
      <c r="A2292" s="20" t="s">
        <v>59</v>
      </c>
      <c r="B2292" s="21" t="s">
        <v>60</v>
      </c>
      <c r="C2292" s="15" t="str">
        <f>"20190117623"</f>
        <v>20190117623</v>
      </c>
      <c r="D2292" s="17">
        <v>60</v>
      </c>
    </row>
    <row r="2293" spans="1:4" ht="21.75" customHeight="1">
      <c r="A2293" s="20" t="s">
        <v>59</v>
      </c>
      <c r="B2293" s="21" t="s">
        <v>60</v>
      </c>
      <c r="C2293" s="15" t="str">
        <f>"20190117624"</f>
        <v>20190117624</v>
      </c>
      <c r="D2293" s="17">
        <v>61.5</v>
      </c>
    </row>
    <row r="2294" spans="1:4" ht="21.75" customHeight="1">
      <c r="A2294" s="20" t="s">
        <v>59</v>
      </c>
      <c r="B2294" s="21" t="s">
        <v>60</v>
      </c>
      <c r="C2294" s="15" t="str">
        <f>"20190117625"</f>
        <v>20190117625</v>
      </c>
      <c r="D2294" s="17">
        <v>59</v>
      </c>
    </row>
    <row r="2295" spans="1:4" ht="21.75" customHeight="1">
      <c r="A2295" s="20" t="s">
        <v>59</v>
      </c>
      <c r="B2295" s="21" t="s">
        <v>60</v>
      </c>
      <c r="C2295" s="15" t="str">
        <f>"20190117626"</f>
        <v>20190117626</v>
      </c>
      <c r="D2295" s="17">
        <v>66.5</v>
      </c>
    </row>
    <row r="2296" spans="1:4" ht="21.75" customHeight="1">
      <c r="A2296" s="20" t="s">
        <v>59</v>
      </c>
      <c r="B2296" s="21" t="s">
        <v>60</v>
      </c>
      <c r="C2296" s="15" t="str">
        <f>"20190117627"</f>
        <v>20190117627</v>
      </c>
      <c r="D2296" s="17">
        <v>58</v>
      </c>
    </row>
    <row r="2297" spans="1:4" ht="21.75" customHeight="1">
      <c r="A2297" s="20" t="s">
        <v>59</v>
      </c>
      <c r="B2297" s="21" t="s">
        <v>60</v>
      </c>
      <c r="C2297" s="15" t="str">
        <f>"20190117628"</f>
        <v>20190117628</v>
      </c>
      <c r="D2297" s="17">
        <v>61.5</v>
      </c>
    </row>
    <row r="2298" spans="1:4" ht="21.75" customHeight="1">
      <c r="A2298" s="20" t="s">
        <v>59</v>
      </c>
      <c r="B2298" s="21" t="s">
        <v>60</v>
      </c>
      <c r="C2298" s="15" t="str">
        <f>"20190117629"</f>
        <v>20190117629</v>
      </c>
      <c r="D2298" s="17">
        <v>61.5</v>
      </c>
    </row>
    <row r="2299" spans="1:4" ht="21.75" customHeight="1">
      <c r="A2299" s="20" t="s">
        <v>59</v>
      </c>
      <c r="B2299" s="21" t="s">
        <v>60</v>
      </c>
      <c r="C2299" s="15" t="str">
        <f>"20190117630"</f>
        <v>20190117630</v>
      </c>
      <c r="D2299" s="17" t="s">
        <v>12</v>
      </c>
    </row>
    <row r="2300" spans="1:4" ht="21.75" customHeight="1">
      <c r="A2300" s="20" t="s">
        <v>59</v>
      </c>
      <c r="B2300" s="21" t="s">
        <v>60</v>
      </c>
      <c r="C2300" s="15" t="str">
        <f>"20190117701"</f>
        <v>20190117701</v>
      </c>
      <c r="D2300" s="17">
        <v>60.5</v>
      </c>
    </row>
    <row r="2301" spans="1:4" ht="21.75" customHeight="1">
      <c r="A2301" s="20" t="s">
        <v>59</v>
      </c>
      <c r="B2301" s="21" t="s">
        <v>60</v>
      </c>
      <c r="C2301" s="15" t="str">
        <f>"20190117702"</f>
        <v>20190117702</v>
      </c>
      <c r="D2301" s="17">
        <v>49</v>
      </c>
    </row>
    <row r="2302" spans="1:4" ht="21.75" customHeight="1">
      <c r="A2302" s="20" t="s">
        <v>59</v>
      </c>
      <c r="B2302" s="21" t="s">
        <v>60</v>
      </c>
      <c r="C2302" s="15" t="str">
        <f>"20190117703"</f>
        <v>20190117703</v>
      </c>
      <c r="D2302" s="17">
        <v>62.5</v>
      </c>
    </row>
    <row r="2303" spans="1:4" ht="21.75" customHeight="1">
      <c r="A2303" s="20" t="s">
        <v>59</v>
      </c>
      <c r="B2303" s="21" t="s">
        <v>60</v>
      </c>
      <c r="C2303" s="15" t="str">
        <f>"20190117704"</f>
        <v>20190117704</v>
      </c>
      <c r="D2303" s="17">
        <v>57</v>
      </c>
    </row>
    <row r="2304" spans="1:4" ht="21.75" customHeight="1">
      <c r="A2304" s="20" t="s">
        <v>59</v>
      </c>
      <c r="B2304" s="21" t="s">
        <v>60</v>
      </c>
      <c r="C2304" s="15" t="str">
        <f>"20190117705"</f>
        <v>20190117705</v>
      </c>
      <c r="D2304" s="17">
        <v>62</v>
      </c>
    </row>
    <row r="2305" spans="1:4" ht="21.75" customHeight="1">
      <c r="A2305" s="20" t="s">
        <v>59</v>
      </c>
      <c r="B2305" s="21" t="s">
        <v>60</v>
      </c>
      <c r="C2305" s="15" t="str">
        <f>"20190117706"</f>
        <v>20190117706</v>
      </c>
      <c r="D2305" s="17" t="s">
        <v>12</v>
      </c>
    </row>
    <row r="2306" spans="1:4" ht="21.75" customHeight="1">
      <c r="A2306" s="20" t="s">
        <v>59</v>
      </c>
      <c r="B2306" s="21" t="s">
        <v>60</v>
      </c>
      <c r="C2306" s="15" t="str">
        <f>"20190117707"</f>
        <v>20190117707</v>
      </c>
      <c r="D2306" s="17" t="s">
        <v>12</v>
      </c>
    </row>
    <row r="2307" spans="1:4" ht="21.75" customHeight="1">
      <c r="A2307" s="20" t="s">
        <v>59</v>
      </c>
      <c r="B2307" s="21" t="s">
        <v>60</v>
      </c>
      <c r="C2307" s="15" t="str">
        <f>"20190117708"</f>
        <v>20190117708</v>
      </c>
      <c r="D2307" s="17">
        <v>61.5</v>
      </c>
    </row>
    <row r="2308" spans="1:4" ht="21.75" customHeight="1">
      <c r="A2308" s="20" t="s">
        <v>59</v>
      </c>
      <c r="B2308" s="21" t="s">
        <v>60</v>
      </c>
      <c r="C2308" s="15" t="str">
        <f>"20190117709"</f>
        <v>20190117709</v>
      </c>
      <c r="D2308" s="17">
        <v>56</v>
      </c>
    </row>
    <row r="2309" spans="1:4" ht="21.75" customHeight="1">
      <c r="A2309" s="20" t="s">
        <v>59</v>
      </c>
      <c r="B2309" s="21" t="s">
        <v>60</v>
      </c>
      <c r="C2309" s="15" t="str">
        <f>"20190117710"</f>
        <v>20190117710</v>
      </c>
      <c r="D2309" s="17">
        <v>61</v>
      </c>
    </row>
    <row r="2310" spans="1:5" ht="21.75" customHeight="1">
      <c r="A2310" s="20" t="s">
        <v>59</v>
      </c>
      <c r="B2310" s="21" t="s">
        <v>60</v>
      </c>
      <c r="C2310" s="15" t="str">
        <f>"20190117711"</f>
        <v>20190117711</v>
      </c>
      <c r="D2310" s="17" t="s">
        <v>12</v>
      </c>
      <c r="E2310" s="19"/>
    </row>
    <row r="2311" spans="1:5" ht="21.75" customHeight="1">
      <c r="A2311" s="20" t="s">
        <v>59</v>
      </c>
      <c r="B2311" s="21" t="s">
        <v>60</v>
      </c>
      <c r="C2311" s="15" t="str">
        <f>"20190117712"</f>
        <v>20190117712</v>
      </c>
      <c r="D2311" s="17">
        <v>66</v>
      </c>
      <c r="E2311" s="19"/>
    </row>
    <row r="2312" spans="1:5" ht="21.75" customHeight="1">
      <c r="A2312" s="20" t="s">
        <v>59</v>
      </c>
      <c r="B2312" s="21" t="s">
        <v>60</v>
      </c>
      <c r="C2312" s="15" t="str">
        <f>"20190117713"</f>
        <v>20190117713</v>
      </c>
      <c r="D2312" s="17" t="s">
        <v>12</v>
      </c>
      <c r="E2312" s="19"/>
    </row>
    <row r="2313" spans="1:4" ht="21.75" customHeight="1">
      <c r="A2313" s="20" t="s">
        <v>59</v>
      </c>
      <c r="B2313" s="21" t="s">
        <v>60</v>
      </c>
      <c r="C2313" s="15" t="str">
        <f>"20190117714"</f>
        <v>20190117714</v>
      </c>
      <c r="D2313" s="17">
        <v>60.5</v>
      </c>
    </row>
    <row r="2314" spans="1:4" ht="21.75" customHeight="1">
      <c r="A2314" s="20" t="s">
        <v>59</v>
      </c>
      <c r="B2314" s="21" t="s">
        <v>60</v>
      </c>
      <c r="C2314" s="15" t="str">
        <f>"20190117715"</f>
        <v>20190117715</v>
      </c>
      <c r="D2314" s="17" t="s">
        <v>12</v>
      </c>
    </row>
    <row r="2315" spans="1:4" ht="21.75" customHeight="1">
      <c r="A2315" s="20" t="s">
        <v>59</v>
      </c>
      <c r="B2315" s="21" t="s">
        <v>60</v>
      </c>
      <c r="C2315" s="15" t="str">
        <f>"20190117716"</f>
        <v>20190117716</v>
      </c>
      <c r="D2315" s="17">
        <v>58</v>
      </c>
    </row>
    <row r="2316" spans="1:4" ht="21.75" customHeight="1">
      <c r="A2316" s="20" t="s">
        <v>59</v>
      </c>
      <c r="B2316" s="21" t="s">
        <v>60</v>
      </c>
      <c r="C2316" s="15" t="str">
        <f>"20190117717"</f>
        <v>20190117717</v>
      </c>
      <c r="D2316" s="17">
        <v>55.5</v>
      </c>
    </row>
    <row r="2317" spans="1:4" ht="21.75" customHeight="1">
      <c r="A2317" s="20" t="s">
        <v>59</v>
      </c>
      <c r="B2317" s="21" t="s">
        <v>60</v>
      </c>
      <c r="C2317" s="15" t="str">
        <f>"20190117718"</f>
        <v>20190117718</v>
      </c>
      <c r="D2317" s="17">
        <v>61.5</v>
      </c>
    </row>
    <row r="2318" spans="1:4" ht="21.75" customHeight="1">
      <c r="A2318" s="20" t="s">
        <v>59</v>
      </c>
      <c r="B2318" s="21" t="s">
        <v>60</v>
      </c>
      <c r="C2318" s="15" t="str">
        <f>"20190117719"</f>
        <v>20190117719</v>
      </c>
      <c r="D2318" s="17">
        <v>58</v>
      </c>
    </row>
    <row r="2319" spans="1:4" ht="21.75" customHeight="1">
      <c r="A2319" s="20" t="s">
        <v>59</v>
      </c>
      <c r="B2319" s="21" t="s">
        <v>60</v>
      </c>
      <c r="C2319" s="15" t="str">
        <f>"20190117720"</f>
        <v>20190117720</v>
      </c>
      <c r="D2319" s="17" t="s">
        <v>12</v>
      </c>
    </row>
    <row r="2320" spans="1:4" ht="21.75" customHeight="1">
      <c r="A2320" s="20" t="s">
        <v>59</v>
      </c>
      <c r="B2320" s="21" t="s">
        <v>60</v>
      </c>
      <c r="C2320" s="15" t="str">
        <f>"20190117721"</f>
        <v>20190117721</v>
      </c>
      <c r="D2320" s="17">
        <v>59</v>
      </c>
    </row>
    <row r="2321" spans="1:5" ht="21.75" customHeight="1">
      <c r="A2321" s="20" t="s">
        <v>59</v>
      </c>
      <c r="B2321" s="21" t="s">
        <v>60</v>
      </c>
      <c r="C2321" s="15" t="str">
        <f>"20190117722"</f>
        <v>20190117722</v>
      </c>
      <c r="D2321" s="17">
        <v>68</v>
      </c>
      <c r="E2321" s="18" t="s">
        <v>9</v>
      </c>
    </row>
    <row r="2322" spans="1:4" ht="21.75" customHeight="1">
      <c r="A2322" s="20" t="s">
        <v>59</v>
      </c>
      <c r="B2322" s="21" t="s">
        <v>60</v>
      </c>
      <c r="C2322" s="15" t="str">
        <f>"20190117723"</f>
        <v>20190117723</v>
      </c>
      <c r="D2322" s="17">
        <v>65.5</v>
      </c>
    </row>
    <row r="2323" spans="1:4" ht="21.75" customHeight="1">
      <c r="A2323" s="20" t="s">
        <v>59</v>
      </c>
      <c r="B2323" s="21" t="s">
        <v>60</v>
      </c>
      <c r="C2323" s="15" t="str">
        <f>"20190117724"</f>
        <v>20190117724</v>
      </c>
      <c r="D2323" s="17">
        <v>49</v>
      </c>
    </row>
    <row r="2324" spans="1:4" ht="21.75" customHeight="1">
      <c r="A2324" s="20" t="s">
        <v>59</v>
      </c>
      <c r="B2324" s="21" t="s">
        <v>60</v>
      </c>
      <c r="C2324" s="15" t="str">
        <f>"20190117725"</f>
        <v>20190117725</v>
      </c>
      <c r="D2324" s="17">
        <v>55</v>
      </c>
    </row>
    <row r="2325" spans="1:4" ht="21.75" customHeight="1">
      <c r="A2325" s="20" t="s">
        <v>59</v>
      </c>
      <c r="B2325" s="21" t="s">
        <v>60</v>
      </c>
      <c r="C2325" s="15" t="str">
        <f>"20190117726"</f>
        <v>20190117726</v>
      </c>
      <c r="D2325" s="17" t="s">
        <v>12</v>
      </c>
    </row>
    <row r="2326" spans="1:4" ht="21.75" customHeight="1">
      <c r="A2326" s="20" t="s">
        <v>59</v>
      </c>
      <c r="B2326" s="21" t="s">
        <v>60</v>
      </c>
      <c r="C2326" s="15" t="str">
        <f>"20190117727"</f>
        <v>20190117727</v>
      </c>
      <c r="D2326" s="17">
        <v>55</v>
      </c>
    </row>
    <row r="2327" spans="1:4" ht="21.75" customHeight="1">
      <c r="A2327" s="20" t="s">
        <v>59</v>
      </c>
      <c r="B2327" s="21" t="s">
        <v>60</v>
      </c>
      <c r="C2327" s="15" t="str">
        <f>"20190117728"</f>
        <v>20190117728</v>
      </c>
      <c r="D2327" s="17" t="s">
        <v>12</v>
      </c>
    </row>
    <row r="2328" spans="1:4" ht="21.75" customHeight="1">
      <c r="A2328" s="20" t="s">
        <v>59</v>
      </c>
      <c r="B2328" s="21" t="s">
        <v>60</v>
      </c>
      <c r="C2328" s="15" t="str">
        <f>"20190117729"</f>
        <v>20190117729</v>
      </c>
      <c r="D2328" s="17">
        <v>62</v>
      </c>
    </row>
    <row r="2329" spans="1:4" ht="21.75" customHeight="1">
      <c r="A2329" s="20" t="s">
        <v>59</v>
      </c>
      <c r="B2329" s="21" t="s">
        <v>60</v>
      </c>
      <c r="C2329" s="15" t="str">
        <f>"20190117730"</f>
        <v>20190117730</v>
      </c>
      <c r="D2329" s="17">
        <v>64</v>
      </c>
    </row>
    <row r="2330" spans="1:5" ht="21.75" customHeight="1">
      <c r="A2330" s="20" t="s">
        <v>59</v>
      </c>
      <c r="B2330" s="21" t="s">
        <v>60</v>
      </c>
      <c r="C2330" s="15" t="str">
        <f>"20190117801"</f>
        <v>20190117801</v>
      </c>
      <c r="D2330" s="17">
        <v>68</v>
      </c>
      <c r="E2330" s="18" t="s">
        <v>9</v>
      </c>
    </row>
    <row r="2331" spans="1:4" ht="21.75" customHeight="1">
      <c r="A2331" s="20" t="s">
        <v>59</v>
      </c>
      <c r="B2331" s="21" t="s">
        <v>60</v>
      </c>
      <c r="C2331" s="15" t="str">
        <f>"20190117802"</f>
        <v>20190117802</v>
      </c>
      <c r="D2331" s="17">
        <v>55.5</v>
      </c>
    </row>
    <row r="2332" spans="1:4" ht="21.75" customHeight="1">
      <c r="A2332" s="20" t="s">
        <v>59</v>
      </c>
      <c r="B2332" s="21" t="s">
        <v>60</v>
      </c>
      <c r="C2332" s="15" t="str">
        <f>"20190117803"</f>
        <v>20190117803</v>
      </c>
      <c r="D2332" s="17" t="s">
        <v>12</v>
      </c>
    </row>
    <row r="2333" spans="1:4" ht="21.75" customHeight="1">
      <c r="A2333" s="20" t="s">
        <v>59</v>
      </c>
      <c r="B2333" s="21" t="s">
        <v>60</v>
      </c>
      <c r="C2333" s="15" t="str">
        <f>"20190117804"</f>
        <v>20190117804</v>
      </c>
      <c r="D2333" s="17">
        <v>50</v>
      </c>
    </row>
    <row r="2334" spans="1:4" ht="21.75" customHeight="1">
      <c r="A2334" s="20" t="s">
        <v>59</v>
      </c>
      <c r="B2334" s="21" t="s">
        <v>60</v>
      </c>
      <c r="C2334" s="15" t="str">
        <f>"20190117805"</f>
        <v>20190117805</v>
      </c>
      <c r="D2334" s="17">
        <v>58</v>
      </c>
    </row>
    <row r="2335" spans="1:4" ht="21.75" customHeight="1">
      <c r="A2335" s="20" t="s">
        <v>59</v>
      </c>
      <c r="B2335" s="21" t="s">
        <v>60</v>
      </c>
      <c r="C2335" s="15" t="str">
        <f>"20190117806"</f>
        <v>20190117806</v>
      </c>
      <c r="D2335" s="17">
        <v>67</v>
      </c>
    </row>
    <row r="2336" spans="1:4" ht="21.75" customHeight="1">
      <c r="A2336" s="20" t="s">
        <v>59</v>
      </c>
      <c r="B2336" s="21" t="s">
        <v>60</v>
      </c>
      <c r="C2336" s="15" t="str">
        <f>"20190117807"</f>
        <v>20190117807</v>
      </c>
      <c r="D2336" s="17">
        <v>57.5</v>
      </c>
    </row>
    <row r="2337" spans="1:4" ht="21.75" customHeight="1">
      <c r="A2337" s="20" t="s">
        <v>59</v>
      </c>
      <c r="B2337" s="21" t="s">
        <v>60</v>
      </c>
      <c r="C2337" s="15" t="str">
        <f>"20190117808"</f>
        <v>20190117808</v>
      </c>
      <c r="D2337" s="17" t="s">
        <v>12</v>
      </c>
    </row>
    <row r="2338" spans="1:4" ht="21.75" customHeight="1">
      <c r="A2338" s="20" t="s">
        <v>59</v>
      </c>
      <c r="B2338" s="21" t="s">
        <v>60</v>
      </c>
      <c r="C2338" s="15" t="str">
        <f>"20190117809"</f>
        <v>20190117809</v>
      </c>
      <c r="D2338" s="17">
        <v>60.5</v>
      </c>
    </row>
    <row r="2339" spans="1:4" ht="21.75" customHeight="1">
      <c r="A2339" s="20" t="s">
        <v>59</v>
      </c>
      <c r="B2339" s="21" t="s">
        <v>60</v>
      </c>
      <c r="C2339" s="15" t="str">
        <f>"20190117810"</f>
        <v>20190117810</v>
      </c>
      <c r="D2339" s="17" t="s">
        <v>12</v>
      </c>
    </row>
    <row r="2340" spans="1:4" ht="21.75" customHeight="1">
      <c r="A2340" s="20" t="s">
        <v>59</v>
      </c>
      <c r="B2340" s="21" t="s">
        <v>60</v>
      </c>
      <c r="C2340" s="15" t="str">
        <f>"20190117811"</f>
        <v>20190117811</v>
      </c>
      <c r="D2340" s="17">
        <v>59.5</v>
      </c>
    </row>
    <row r="2341" spans="1:4" ht="21.75" customHeight="1">
      <c r="A2341" s="20" t="s">
        <v>59</v>
      </c>
      <c r="B2341" s="21" t="s">
        <v>60</v>
      </c>
      <c r="C2341" s="15" t="str">
        <f>"20190117812"</f>
        <v>20190117812</v>
      </c>
      <c r="D2341" s="17">
        <v>67.5</v>
      </c>
    </row>
    <row r="2342" spans="1:4" ht="21.75" customHeight="1">
      <c r="A2342" s="20" t="s">
        <v>59</v>
      </c>
      <c r="B2342" s="21" t="s">
        <v>60</v>
      </c>
      <c r="C2342" s="15" t="str">
        <f>"20190117813"</f>
        <v>20190117813</v>
      </c>
      <c r="D2342" s="17">
        <v>64.5</v>
      </c>
    </row>
    <row r="2343" spans="1:4" ht="21.75" customHeight="1">
      <c r="A2343" s="20" t="s">
        <v>59</v>
      </c>
      <c r="B2343" s="21" t="s">
        <v>60</v>
      </c>
      <c r="C2343" s="15" t="str">
        <f>"20190117814"</f>
        <v>20190117814</v>
      </c>
      <c r="D2343" s="17">
        <v>64</v>
      </c>
    </row>
    <row r="2344" spans="1:4" ht="21.75" customHeight="1">
      <c r="A2344" s="20" t="s">
        <v>59</v>
      </c>
      <c r="B2344" s="21" t="s">
        <v>60</v>
      </c>
      <c r="C2344" s="15" t="str">
        <f>"20190117815"</f>
        <v>20190117815</v>
      </c>
      <c r="D2344" s="17" t="s">
        <v>12</v>
      </c>
    </row>
    <row r="2345" spans="1:4" ht="21.75" customHeight="1">
      <c r="A2345" s="20" t="s">
        <v>59</v>
      </c>
      <c r="B2345" s="21" t="s">
        <v>60</v>
      </c>
      <c r="C2345" s="15" t="str">
        <f>"20190117816"</f>
        <v>20190117816</v>
      </c>
      <c r="D2345" s="17">
        <v>54.5</v>
      </c>
    </row>
    <row r="2346" spans="1:4" ht="21.75" customHeight="1">
      <c r="A2346" s="20" t="s">
        <v>59</v>
      </c>
      <c r="B2346" s="21" t="s">
        <v>60</v>
      </c>
      <c r="C2346" s="15" t="str">
        <f>"20190117817"</f>
        <v>20190117817</v>
      </c>
      <c r="D2346" s="17">
        <v>61</v>
      </c>
    </row>
    <row r="2347" spans="1:5" ht="21.75" customHeight="1">
      <c r="A2347" s="20" t="s">
        <v>59</v>
      </c>
      <c r="B2347" s="21" t="s">
        <v>60</v>
      </c>
      <c r="C2347" s="15" t="str">
        <f>"20190117818"</f>
        <v>20190117818</v>
      </c>
      <c r="D2347" s="17">
        <v>71</v>
      </c>
      <c r="E2347" s="18" t="s">
        <v>9</v>
      </c>
    </row>
    <row r="2348" spans="1:4" ht="21.75" customHeight="1">
      <c r="A2348" s="20" t="s">
        <v>59</v>
      </c>
      <c r="B2348" s="21" t="s">
        <v>60</v>
      </c>
      <c r="C2348" s="15" t="str">
        <f>"20190117819"</f>
        <v>20190117819</v>
      </c>
      <c r="D2348" s="17">
        <v>61</v>
      </c>
    </row>
    <row r="2349" spans="1:4" ht="21.75" customHeight="1">
      <c r="A2349" s="20" t="s">
        <v>59</v>
      </c>
      <c r="B2349" s="21" t="s">
        <v>60</v>
      </c>
      <c r="C2349" s="15" t="str">
        <f>"20190117820"</f>
        <v>20190117820</v>
      </c>
      <c r="D2349" s="17" t="s">
        <v>12</v>
      </c>
    </row>
    <row r="2350" spans="1:4" ht="21.75" customHeight="1">
      <c r="A2350" s="20" t="s">
        <v>59</v>
      </c>
      <c r="B2350" s="21" t="s">
        <v>60</v>
      </c>
      <c r="C2350" s="15" t="str">
        <f>"20190117821"</f>
        <v>20190117821</v>
      </c>
      <c r="D2350" s="17">
        <v>60</v>
      </c>
    </row>
    <row r="2351" spans="1:4" ht="21.75" customHeight="1">
      <c r="A2351" s="20" t="s">
        <v>59</v>
      </c>
      <c r="B2351" s="21" t="s">
        <v>60</v>
      </c>
      <c r="C2351" s="15" t="str">
        <f>"20190117822"</f>
        <v>20190117822</v>
      </c>
      <c r="D2351" s="17">
        <v>60.5</v>
      </c>
    </row>
    <row r="2352" spans="1:5" ht="21.75" customHeight="1">
      <c r="A2352" s="15" t="s">
        <v>61</v>
      </c>
      <c r="B2352" s="16" t="s">
        <v>22</v>
      </c>
      <c r="C2352" s="15" t="str">
        <f>"20190117823"</f>
        <v>20190117823</v>
      </c>
      <c r="D2352" s="17">
        <v>60</v>
      </c>
      <c r="E2352" s="19"/>
    </row>
    <row r="2353" spans="1:5" ht="21.75" customHeight="1">
      <c r="A2353" s="15" t="s">
        <v>61</v>
      </c>
      <c r="B2353" s="16" t="s">
        <v>22</v>
      </c>
      <c r="C2353" s="15" t="str">
        <f>"20190117824"</f>
        <v>20190117824</v>
      </c>
      <c r="D2353" s="17">
        <v>62</v>
      </c>
      <c r="E2353" s="19"/>
    </row>
    <row r="2354" spans="1:5" ht="21.75" customHeight="1">
      <c r="A2354" s="15" t="s">
        <v>61</v>
      </c>
      <c r="B2354" s="16" t="s">
        <v>22</v>
      </c>
      <c r="C2354" s="15" t="str">
        <f>"20190117825"</f>
        <v>20190117825</v>
      </c>
      <c r="D2354" s="17">
        <v>57.5</v>
      </c>
      <c r="E2354" s="19"/>
    </row>
    <row r="2355" spans="1:4" ht="21.75" customHeight="1">
      <c r="A2355" s="15" t="s">
        <v>61</v>
      </c>
      <c r="B2355" s="16" t="s">
        <v>22</v>
      </c>
      <c r="C2355" s="15" t="str">
        <f>"20190117826"</f>
        <v>20190117826</v>
      </c>
      <c r="D2355" s="17">
        <v>59</v>
      </c>
    </row>
    <row r="2356" spans="1:5" ht="21.75" customHeight="1">
      <c r="A2356" s="15" t="s">
        <v>61</v>
      </c>
      <c r="B2356" s="16" t="s">
        <v>22</v>
      </c>
      <c r="C2356" s="15" t="str">
        <f>"20190117827"</f>
        <v>20190117827</v>
      </c>
      <c r="D2356" s="17">
        <v>69.5</v>
      </c>
      <c r="E2356" s="18" t="s">
        <v>9</v>
      </c>
    </row>
    <row r="2357" spans="1:4" ht="21.75" customHeight="1">
      <c r="A2357" s="15" t="s">
        <v>61</v>
      </c>
      <c r="B2357" s="16" t="s">
        <v>22</v>
      </c>
      <c r="C2357" s="15" t="str">
        <f>"20190117828"</f>
        <v>20190117828</v>
      </c>
      <c r="D2357" s="17">
        <v>58.5</v>
      </c>
    </row>
    <row r="2358" spans="1:4" ht="21.75" customHeight="1">
      <c r="A2358" s="15" t="s">
        <v>61</v>
      </c>
      <c r="B2358" s="16" t="s">
        <v>22</v>
      </c>
      <c r="C2358" s="15" t="str">
        <f>"20190117829"</f>
        <v>20190117829</v>
      </c>
      <c r="D2358" s="17">
        <v>58.5</v>
      </c>
    </row>
    <row r="2359" spans="1:4" ht="21.75" customHeight="1">
      <c r="A2359" s="15" t="s">
        <v>61</v>
      </c>
      <c r="B2359" s="16" t="s">
        <v>22</v>
      </c>
      <c r="C2359" s="15" t="str">
        <f>"20190117830"</f>
        <v>20190117830</v>
      </c>
      <c r="D2359" s="17">
        <v>53</v>
      </c>
    </row>
    <row r="2360" spans="1:4" ht="21.75" customHeight="1">
      <c r="A2360" s="15" t="s">
        <v>61</v>
      </c>
      <c r="B2360" s="16" t="s">
        <v>22</v>
      </c>
      <c r="C2360" s="15" t="str">
        <f>"20190117901"</f>
        <v>20190117901</v>
      </c>
      <c r="D2360" s="17">
        <v>66</v>
      </c>
    </row>
    <row r="2361" spans="1:5" ht="21.75" customHeight="1">
      <c r="A2361" s="15" t="s">
        <v>61</v>
      </c>
      <c r="B2361" s="16" t="s">
        <v>22</v>
      </c>
      <c r="C2361" s="15" t="str">
        <f>"20190117902"</f>
        <v>20190117902</v>
      </c>
      <c r="D2361" s="17">
        <v>74</v>
      </c>
      <c r="E2361" s="18" t="s">
        <v>9</v>
      </c>
    </row>
    <row r="2362" spans="1:5" ht="21.75" customHeight="1">
      <c r="A2362" s="15" t="s">
        <v>61</v>
      </c>
      <c r="B2362" s="16" t="s">
        <v>22</v>
      </c>
      <c r="C2362" s="15" t="str">
        <f>"20190117903"</f>
        <v>20190117903</v>
      </c>
      <c r="D2362" s="17">
        <v>70</v>
      </c>
      <c r="E2362" s="18" t="s">
        <v>9</v>
      </c>
    </row>
    <row r="2363" spans="1:4" ht="21.75" customHeight="1">
      <c r="A2363" s="15" t="s">
        <v>61</v>
      </c>
      <c r="B2363" s="16" t="s">
        <v>22</v>
      </c>
      <c r="C2363" s="15" t="str">
        <f>"20190117904"</f>
        <v>20190117904</v>
      </c>
      <c r="D2363" s="17">
        <v>55</v>
      </c>
    </row>
    <row r="2364" spans="1:4" ht="21.75" customHeight="1">
      <c r="A2364" s="15" t="s">
        <v>61</v>
      </c>
      <c r="B2364" s="16" t="s">
        <v>22</v>
      </c>
      <c r="C2364" s="15" t="str">
        <f>"20190117905"</f>
        <v>20190117905</v>
      </c>
      <c r="D2364" s="17">
        <v>58</v>
      </c>
    </row>
    <row r="2365" spans="1:4" ht="21.75" customHeight="1">
      <c r="A2365" s="15" t="s">
        <v>61</v>
      </c>
      <c r="B2365" s="16" t="s">
        <v>22</v>
      </c>
      <c r="C2365" s="15" t="str">
        <f>"20190117906"</f>
        <v>20190117906</v>
      </c>
      <c r="D2365" s="17">
        <v>47</v>
      </c>
    </row>
    <row r="2366" spans="1:4" ht="21.75" customHeight="1">
      <c r="A2366" s="15" t="s">
        <v>61</v>
      </c>
      <c r="B2366" s="16" t="s">
        <v>22</v>
      </c>
      <c r="C2366" s="15" t="str">
        <f>"20190117907"</f>
        <v>20190117907</v>
      </c>
      <c r="D2366" s="17">
        <v>63.5</v>
      </c>
    </row>
    <row r="2367" spans="1:4" ht="21.75" customHeight="1">
      <c r="A2367" s="15" t="s">
        <v>61</v>
      </c>
      <c r="B2367" s="16" t="s">
        <v>22</v>
      </c>
      <c r="C2367" s="15" t="str">
        <f>"20190117908"</f>
        <v>20190117908</v>
      </c>
      <c r="D2367" s="17">
        <v>50</v>
      </c>
    </row>
    <row r="2368" spans="1:4" ht="21.75" customHeight="1">
      <c r="A2368" s="15" t="s">
        <v>61</v>
      </c>
      <c r="B2368" s="16" t="s">
        <v>22</v>
      </c>
      <c r="C2368" s="15" t="str">
        <f>"20190117909"</f>
        <v>20190117909</v>
      </c>
      <c r="D2368" s="17">
        <v>62</v>
      </c>
    </row>
    <row r="2369" spans="1:4" ht="21.75" customHeight="1">
      <c r="A2369" s="15" t="s">
        <v>61</v>
      </c>
      <c r="B2369" s="16" t="s">
        <v>22</v>
      </c>
      <c r="C2369" s="15" t="str">
        <f>"20190117910"</f>
        <v>20190117910</v>
      </c>
      <c r="D2369" s="17">
        <v>54</v>
      </c>
    </row>
    <row r="2370" spans="1:4" ht="21.75" customHeight="1">
      <c r="A2370" s="15" t="s">
        <v>61</v>
      </c>
      <c r="B2370" s="16" t="s">
        <v>22</v>
      </c>
      <c r="C2370" s="15" t="str">
        <f>"20190117911"</f>
        <v>20190117911</v>
      </c>
      <c r="D2370" s="17">
        <v>55</v>
      </c>
    </row>
    <row r="2371" spans="1:4" ht="21.75" customHeight="1">
      <c r="A2371" s="15" t="s">
        <v>61</v>
      </c>
      <c r="B2371" s="16" t="s">
        <v>22</v>
      </c>
      <c r="C2371" s="15" t="str">
        <f>"20190117912"</f>
        <v>20190117912</v>
      </c>
      <c r="D2371" s="17" t="s">
        <v>12</v>
      </c>
    </row>
    <row r="2372" spans="1:4" ht="21.75" customHeight="1">
      <c r="A2372" s="15" t="s">
        <v>61</v>
      </c>
      <c r="B2372" s="16" t="s">
        <v>22</v>
      </c>
      <c r="C2372" s="15" t="str">
        <f>"20190117913"</f>
        <v>20190117913</v>
      </c>
      <c r="D2372" s="17">
        <v>62.5</v>
      </c>
    </row>
    <row r="2373" spans="1:4" ht="21.75" customHeight="1">
      <c r="A2373" s="15" t="s">
        <v>61</v>
      </c>
      <c r="B2373" s="16" t="s">
        <v>22</v>
      </c>
      <c r="C2373" s="15" t="str">
        <f>"20190117914"</f>
        <v>20190117914</v>
      </c>
      <c r="D2373" s="17" t="s">
        <v>12</v>
      </c>
    </row>
    <row r="2374" spans="1:4" ht="21.75" customHeight="1">
      <c r="A2374" s="20" t="s">
        <v>62</v>
      </c>
      <c r="B2374" s="21" t="s">
        <v>63</v>
      </c>
      <c r="C2374" s="15" t="str">
        <f>"20190117915"</f>
        <v>20190117915</v>
      </c>
      <c r="D2374" s="17">
        <v>54</v>
      </c>
    </row>
    <row r="2375" spans="1:4" ht="21.75" customHeight="1">
      <c r="A2375" s="20" t="s">
        <v>62</v>
      </c>
      <c r="B2375" s="21" t="s">
        <v>63</v>
      </c>
      <c r="C2375" s="15" t="str">
        <f>"20190117916"</f>
        <v>20190117916</v>
      </c>
      <c r="D2375" s="17">
        <v>60</v>
      </c>
    </row>
    <row r="2376" spans="1:4" ht="21.75" customHeight="1">
      <c r="A2376" s="20" t="s">
        <v>62</v>
      </c>
      <c r="B2376" s="21" t="s">
        <v>63</v>
      </c>
      <c r="C2376" s="15" t="str">
        <f>"20190117917"</f>
        <v>20190117917</v>
      </c>
      <c r="D2376" s="17">
        <v>55.5</v>
      </c>
    </row>
    <row r="2377" spans="1:5" ht="21.75" customHeight="1">
      <c r="A2377" s="20" t="s">
        <v>62</v>
      </c>
      <c r="B2377" s="21" t="s">
        <v>63</v>
      </c>
      <c r="C2377" s="15" t="str">
        <f>"20190117918"</f>
        <v>20190117918</v>
      </c>
      <c r="D2377" s="17">
        <v>64.5</v>
      </c>
      <c r="E2377" s="18" t="s">
        <v>9</v>
      </c>
    </row>
    <row r="2378" spans="1:4" ht="21.75" customHeight="1">
      <c r="A2378" s="20" t="s">
        <v>62</v>
      </c>
      <c r="B2378" s="21" t="s">
        <v>63</v>
      </c>
      <c r="C2378" s="15" t="str">
        <f>"20190117919"</f>
        <v>20190117919</v>
      </c>
      <c r="D2378" s="17" t="s">
        <v>12</v>
      </c>
    </row>
    <row r="2379" spans="1:4" ht="21.75" customHeight="1">
      <c r="A2379" s="20" t="s">
        <v>62</v>
      </c>
      <c r="B2379" s="21" t="s">
        <v>63</v>
      </c>
      <c r="C2379" s="15" t="str">
        <f>"20190117920"</f>
        <v>20190117920</v>
      </c>
      <c r="D2379" s="17">
        <v>54</v>
      </c>
    </row>
    <row r="2380" spans="1:4" ht="21.75" customHeight="1">
      <c r="A2380" s="20" t="s">
        <v>62</v>
      </c>
      <c r="B2380" s="21" t="s">
        <v>63</v>
      </c>
      <c r="C2380" s="15" t="str">
        <f>"20190117921"</f>
        <v>20190117921</v>
      </c>
      <c r="D2380" s="17">
        <v>59</v>
      </c>
    </row>
    <row r="2381" spans="1:5" ht="21.75" customHeight="1">
      <c r="A2381" s="20" t="s">
        <v>62</v>
      </c>
      <c r="B2381" s="21" t="s">
        <v>63</v>
      </c>
      <c r="C2381" s="15" t="str">
        <f>"20190117922"</f>
        <v>20190117922</v>
      </c>
      <c r="D2381" s="17">
        <v>68.5</v>
      </c>
      <c r="E2381" s="18" t="s">
        <v>9</v>
      </c>
    </row>
    <row r="2382" spans="1:4" ht="21.75" customHeight="1">
      <c r="A2382" s="20" t="s">
        <v>62</v>
      </c>
      <c r="B2382" s="21" t="s">
        <v>63</v>
      </c>
      <c r="C2382" s="15" t="str">
        <f>"20190117923"</f>
        <v>20190117923</v>
      </c>
      <c r="D2382" s="17">
        <v>57</v>
      </c>
    </row>
    <row r="2383" spans="1:5" ht="21.75" customHeight="1">
      <c r="A2383" s="20" t="s">
        <v>62</v>
      </c>
      <c r="B2383" s="21" t="s">
        <v>63</v>
      </c>
      <c r="C2383" s="15" t="str">
        <f>"20190117924"</f>
        <v>20190117924</v>
      </c>
      <c r="D2383" s="17">
        <v>60.5</v>
      </c>
      <c r="E2383" s="18" t="s">
        <v>9</v>
      </c>
    </row>
    <row r="2384" spans="1:4" ht="21.75" customHeight="1">
      <c r="A2384" s="20" t="s">
        <v>62</v>
      </c>
      <c r="B2384" s="21" t="s">
        <v>63</v>
      </c>
      <c r="C2384" s="15" t="str">
        <f>"20190117925"</f>
        <v>20190117925</v>
      </c>
      <c r="D2384" s="17">
        <v>51.5</v>
      </c>
    </row>
    <row r="2385" spans="1:4" ht="21.75" customHeight="1">
      <c r="A2385" s="20" t="s">
        <v>62</v>
      </c>
      <c r="B2385" s="21" t="s">
        <v>63</v>
      </c>
      <c r="C2385" s="15" t="str">
        <f>"20190117926"</f>
        <v>20190117926</v>
      </c>
      <c r="D2385" s="17">
        <v>49</v>
      </c>
    </row>
    <row r="2386" spans="1:4" ht="21.75" customHeight="1">
      <c r="A2386" s="20" t="s">
        <v>62</v>
      </c>
      <c r="B2386" s="21" t="s">
        <v>63</v>
      </c>
      <c r="C2386" s="15" t="str">
        <f>"20190117927"</f>
        <v>20190117927</v>
      </c>
      <c r="D2386" s="17">
        <v>54</v>
      </c>
    </row>
    <row r="2387" spans="1:4" ht="21.75" customHeight="1">
      <c r="A2387" s="20" t="s">
        <v>62</v>
      </c>
      <c r="B2387" s="21" t="s">
        <v>63</v>
      </c>
      <c r="C2387" s="15" t="str">
        <f>"20190117928"</f>
        <v>20190117928</v>
      </c>
      <c r="D2387" s="17">
        <v>57.5</v>
      </c>
    </row>
    <row r="2388" spans="1:4" ht="21.75" customHeight="1">
      <c r="A2388" s="20" t="s">
        <v>62</v>
      </c>
      <c r="B2388" s="21" t="s">
        <v>63</v>
      </c>
      <c r="C2388" s="15" t="str">
        <f>"20190117929"</f>
        <v>20190117929</v>
      </c>
      <c r="D2388" s="17">
        <v>60</v>
      </c>
    </row>
    <row r="2389" spans="1:5" ht="21.75" customHeight="1">
      <c r="A2389" s="15" t="s">
        <v>64</v>
      </c>
      <c r="B2389" s="16" t="s">
        <v>65</v>
      </c>
      <c r="C2389" s="15" t="str">
        <f>"20190117930"</f>
        <v>20190117930</v>
      </c>
      <c r="D2389" s="17">
        <v>56.5</v>
      </c>
      <c r="E2389" s="18" t="s">
        <v>9</v>
      </c>
    </row>
    <row r="2390" spans="1:4" ht="21.75" customHeight="1">
      <c r="A2390" s="15" t="s">
        <v>64</v>
      </c>
      <c r="B2390" s="16" t="s">
        <v>65</v>
      </c>
      <c r="C2390" s="15" t="str">
        <f>"20190118001"</f>
        <v>20190118001</v>
      </c>
      <c r="D2390" s="17" t="s">
        <v>12</v>
      </c>
    </row>
    <row r="2391" spans="1:5" ht="21.75" customHeight="1">
      <c r="A2391" s="15" t="s">
        <v>64</v>
      </c>
      <c r="B2391" s="16" t="s">
        <v>65</v>
      </c>
      <c r="C2391" s="15" t="str">
        <f>"20190118002"</f>
        <v>20190118002</v>
      </c>
      <c r="D2391" s="17">
        <v>59</v>
      </c>
      <c r="E2391" s="18" t="s">
        <v>9</v>
      </c>
    </row>
    <row r="2392" spans="1:5" ht="21.75" customHeight="1">
      <c r="A2392" s="15" t="s">
        <v>64</v>
      </c>
      <c r="B2392" s="16" t="s">
        <v>65</v>
      </c>
      <c r="C2392" s="15" t="str">
        <f>"20190118003"</f>
        <v>20190118003</v>
      </c>
      <c r="D2392" s="17">
        <v>58</v>
      </c>
      <c r="E2392" s="18" t="s">
        <v>9</v>
      </c>
    </row>
    <row r="2393" spans="1:4" ht="21.75" customHeight="1">
      <c r="A2393" s="15" t="s">
        <v>64</v>
      </c>
      <c r="B2393" s="16" t="s">
        <v>65</v>
      </c>
      <c r="C2393" s="15" t="str">
        <f>"20190118004"</f>
        <v>20190118004</v>
      </c>
      <c r="D2393" s="17" t="s">
        <v>12</v>
      </c>
    </row>
    <row r="2394" spans="1:4" ht="21.75" customHeight="1">
      <c r="A2394" s="20" t="s">
        <v>66</v>
      </c>
      <c r="B2394" s="21" t="s">
        <v>67</v>
      </c>
      <c r="C2394" s="15" t="str">
        <f>"20190118005"</f>
        <v>20190118005</v>
      </c>
      <c r="D2394" s="17">
        <v>58</v>
      </c>
    </row>
    <row r="2395" spans="1:4" ht="21.75" customHeight="1">
      <c r="A2395" s="20" t="s">
        <v>66</v>
      </c>
      <c r="B2395" s="21" t="s">
        <v>67</v>
      </c>
      <c r="C2395" s="15" t="str">
        <f>"20190118006"</f>
        <v>20190118006</v>
      </c>
      <c r="D2395" s="17">
        <v>64.5</v>
      </c>
    </row>
    <row r="2396" spans="1:4" ht="21.75" customHeight="1">
      <c r="A2396" s="20" t="s">
        <v>66</v>
      </c>
      <c r="B2396" s="21" t="s">
        <v>67</v>
      </c>
      <c r="C2396" s="15" t="str">
        <f>"20190118007"</f>
        <v>20190118007</v>
      </c>
      <c r="D2396" s="17">
        <v>65.5</v>
      </c>
    </row>
    <row r="2397" spans="1:4" ht="21.75" customHeight="1">
      <c r="A2397" s="20" t="s">
        <v>66</v>
      </c>
      <c r="B2397" s="21" t="s">
        <v>67</v>
      </c>
      <c r="C2397" s="15" t="str">
        <f>"20190118008"</f>
        <v>20190118008</v>
      </c>
      <c r="D2397" s="17" t="s">
        <v>12</v>
      </c>
    </row>
    <row r="2398" spans="1:4" ht="21.75" customHeight="1">
      <c r="A2398" s="20" t="s">
        <v>66</v>
      </c>
      <c r="B2398" s="21" t="s">
        <v>67</v>
      </c>
      <c r="C2398" s="15" t="str">
        <f>"20190118009"</f>
        <v>20190118009</v>
      </c>
      <c r="D2398" s="17">
        <v>55</v>
      </c>
    </row>
    <row r="2399" spans="1:4" ht="21.75" customHeight="1">
      <c r="A2399" s="20" t="s">
        <v>66</v>
      </c>
      <c r="B2399" s="21" t="s">
        <v>67</v>
      </c>
      <c r="C2399" s="15" t="str">
        <f>"20190118010"</f>
        <v>20190118010</v>
      </c>
      <c r="D2399" s="17">
        <v>58.5</v>
      </c>
    </row>
    <row r="2400" spans="1:4" ht="21.75" customHeight="1">
      <c r="A2400" s="20" t="s">
        <v>66</v>
      </c>
      <c r="B2400" s="21" t="s">
        <v>67</v>
      </c>
      <c r="C2400" s="15" t="str">
        <f>"20190118011"</f>
        <v>20190118011</v>
      </c>
      <c r="D2400" s="17">
        <v>64.5</v>
      </c>
    </row>
    <row r="2401" spans="1:4" ht="21.75" customHeight="1">
      <c r="A2401" s="20" t="s">
        <v>66</v>
      </c>
      <c r="B2401" s="21" t="s">
        <v>67</v>
      </c>
      <c r="C2401" s="15" t="str">
        <f>"20190118012"</f>
        <v>20190118012</v>
      </c>
      <c r="D2401" s="17">
        <v>60.5</v>
      </c>
    </row>
    <row r="2402" spans="1:4" ht="21.75" customHeight="1">
      <c r="A2402" s="20" t="s">
        <v>66</v>
      </c>
      <c r="B2402" s="21" t="s">
        <v>67</v>
      </c>
      <c r="C2402" s="15" t="str">
        <f>"20190118013"</f>
        <v>20190118013</v>
      </c>
      <c r="D2402" s="17">
        <v>61.5</v>
      </c>
    </row>
    <row r="2403" spans="1:4" ht="21.75" customHeight="1">
      <c r="A2403" s="20" t="s">
        <v>66</v>
      </c>
      <c r="B2403" s="21" t="s">
        <v>67</v>
      </c>
      <c r="C2403" s="15" t="str">
        <f>"20190118014"</f>
        <v>20190118014</v>
      </c>
      <c r="D2403" s="17">
        <v>61</v>
      </c>
    </row>
    <row r="2404" spans="1:4" ht="21.75" customHeight="1">
      <c r="A2404" s="20" t="s">
        <v>66</v>
      </c>
      <c r="B2404" s="21" t="s">
        <v>67</v>
      </c>
      <c r="C2404" s="15" t="str">
        <f>"20190118015"</f>
        <v>20190118015</v>
      </c>
      <c r="D2404" s="17">
        <v>54.5</v>
      </c>
    </row>
    <row r="2405" spans="1:4" ht="21.75" customHeight="1">
      <c r="A2405" s="20" t="s">
        <v>66</v>
      </c>
      <c r="B2405" s="21" t="s">
        <v>67</v>
      </c>
      <c r="C2405" s="15" t="str">
        <f>"20190118016"</f>
        <v>20190118016</v>
      </c>
      <c r="D2405" s="17">
        <v>55</v>
      </c>
    </row>
    <row r="2406" spans="1:5" ht="21.75" customHeight="1">
      <c r="A2406" s="20" t="s">
        <v>66</v>
      </c>
      <c r="B2406" s="21" t="s">
        <v>67</v>
      </c>
      <c r="C2406" s="15" t="str">
        <f>"20190118017"</f>
        <v>20190118017</v>
      </c>
      <c r="D2406" s="17">
        <v>69</v>
      </c>
      <c r="E2406" s="18" t="s">
        <v>9</v>
      </c>
    </row>
    <row r="2407" spans="1:4" ht="21.75" customHeight="1">
      <c r="A2407" s="20" t="s">
        <v>66</v>
      </c>
      <c r="B2407" s="21" t="s">
        <v>67</v>
      </c>
      <c r="C2407" s="15" t="str">
        <f>"20190118018"</f>
        <v>20190118018</v>
      </c>
      <c r="D2407" s="17">
        <v>51.5</v>
      </c>
    </row>
    <row r="2408" spans="1:5" ht="21.75" customHeight="1">
      <c r="A2408" s="20" t="s">
        <v>66</v>
      </c>
      <c r="B2408" s="21" t="s">
        <v>67</v>
      </c>
      <c r="C2408" s="15" t="str">
        <f>"20190118019"</f>
        <v>20190118019</v>
      </c>
      <c r="D2408" s="17">
        <v>67.5</v>
      </c>
      <c r="E2408" s="18" t="s">
        <v>9</v>
      </c>
    </row>
    <row r="2409" spans="1:4" ht="21.75" customHeight="1">
      <c r="A2409" s="20" t="s">
        <v>66</v>
      </c>
      <c r="B2409" s="21" t="s">
        <v>67</v>
      </c>
      <c r="C2409" s="15" t="str">
        <f>"20190118020"</f>
        <v>20190118020</v>
      </c>
      <c r="D2409" s="17" t="s">
        <v>12</v>
      </c>
    </row>
    <row r="2410" spans="1:4" ht="21.75" customHeight="1">
      <c r="A2410" s="20" t="s">
        <v>66</v>
      </c>
      <c r="B2410" s="21" t="s">
        <v>67</v>
      </c>
      <c r="C2410" s="15" t="str">
        <f>"20190118021"</f>
        <v>20190118021</v>
      </c>
      <c r="D2410" s="17">
        <v>53.5</v>
      </c>
    </row>
    <row r="2411" spans="1:5" ht="21.75" customHeight="1">
      <c r="A2411" s="20" t="s">
        <v>66</v>
      </c>
      <c r="B2411" s="21" t="s">
        <v>67</v>
      </c>
      <c r="C2411" s="15" t="str">
        <f>"20190118022"</f>
        <v>20190118022</v>
      </c>
      <c r="D2411" s="17">
        <v>68</v>
      </c>
      <c r="E2411" s="18" t="s">
        <v>9</v>
      </c>
    </row>
    <row r="2412" spans="1:4" ht="21.75" customHeight="1">
      <c r="A2412" s="20" t="s">
        <v>66</v>
      </c>
      <c r="B2412" s="21" t="s">
        <v>67</v>
      </c>
      <c r="C2412" s="15" t="str">
        <f>"20190118023"</f>
        <v>20190118023</v>
      </c>
      <c r="D2412" s="17">
        <v>67</v>
      </c>
    </row>
    <row r="2413" spans="1:4" ht="21.75" customHeight="1">
      <c r="A2413" s="20" t="s">
        <v>66</v>
      </c>
      <c r="B2413" s="21" t="s">
        <v>67</v>
      </c>
      <c r="C2413" s="15" t="str">
        <f>"20190118024"</f>
        <v>20190118024</v>
      </c>
      <c r="D2413" s="17">
        <v>62.5</v>
      </c>
    </row>
    <row r="2414" spans="1:4" ht="21.75" customHeight="1">
      <c r="A2414" s="20" t="s">
        <v>66</v>
      </c>
      <c r="B2414" s="21" t="s">
        <v>67</v>
      </c>
      <c r="C2414" s="15" t="str">
        <f>"20190118025"</f>
        <v>20190118025</v>
      </c>
      <c r="D2414" s="17">
        <v>60.5</v>
      </c>
    </row>
    <row r="2415" spans="1:5" ht="21.75" customHeight="1">
      <c r="A2415" s="20" t="s">
        <v>66</v>
      </c>
      <c r="B2415" s="21" t="s">
        <v>67</v>
      </c>
      <c r="C2415" s="15" t="str">
        <f>"20190118026"</f>
        <v>20190118026</v>
      </c>
      <c r="D2415" s="17" t="s">
        <v>12</v>
      </c>
      <c r="E2415" s="19"/>
    </row>
    <row r="2416" spans="1:5" ht="21.75" customHeight="1">
      <c r="A2416" s="20" t="s">
        <v>66</v>
      </c>
      <c r="B2416" s="21" t="s">
        <v>67</v>
      </c>
      <c r="C2416" s="15" t="str">
        <f>"20190118027"</f>
        <v>20190118027</v>
      </c>
      <c r="D2416" s="17">
        <v>61</v>
      </c>
      <c r="E2416" s="19"/>
    </row>
    <row r="2417" spans="1:5" ht="21.75" customHeight="1">
      <c r="A2417" s="20" t="s">
        <v>66</v>
      </c>
      <c r="B2417" s="21" t="s">
        <v>67</v>
      </c>
      <c r="C2417" s="15" t="str">
        <f>"20190118028"</f>
        <v>20190118028</v>
      </c>
      <c r="D2417" s="17">
        <v>60</v>
      </c>
      <c r="E2417" s="19"/>
    </row>
    <row r="2418" spans="1:5" ht="21.75" customHeight="1">
      <c r="A2418" s="20" t="s">
        <v>66</v>
      </c>
      <c r="B2418" s="21" t="s">
        <v>67</v>
      </c>
      <c r="C2418" s="15" t="str">
        <f>"20190118029"</f>
        <v>20190118029</v>
      </c>
      <c r="D2418" s="17" t="s">
        <v>12</v>
      </c>
      <c r="E2418" s="19"/>
    </row>
    <row r="2419" spans="1:4" ht="21.75" customHeight="1">
      <c r="A2419" s="20" t="s">
        <v>66</v>
      </c>
      <c r="B2419" s="21" t="s">
        <v>67</v>
      </c>
      <c r="C2419" s="15" t="str">
        <f>"20190118030"</f>
        <v>20190118030</v>
      </c>
      <c r="D2419" s="17">
        <v>60.5</v>
      </c>
    </row>
    <row r="2420" spans="1:4" ht="21.75" customHeight="1">
      <c r="A2420" s="20" t="s">
        <v>66</v>
      </c>
      <c r="B2420" s="21" t="s">
        <v>67</v>
      </c>
      <c r="C2420" s="15" t="str">
        <f>"20190118101"</f>
        <v>20190118101</v>
      </c>
      <c r="D2420" s="17">
        <v>56</v>
      </c>
    </row>
    <row r="2421" spans="1:4" ht="21.75" customHeight="1">
      <c r="A2421" s="20" t="s">
        <v>66</v>
      </c>
      <c r="B2421" s="21" t="s">
        <v>67</v>
      </c>
      <c r="C2421" s="15" t="str">
        <f>"20190118102"</f>
        <v>20190118102</v>
      </c>
      <c r="D2421" s="17">
        <v>66</v>
      </c>
    </row>
    <row r="2422" spans="1:4" ht="21.75" customHeight="1">
      <c r="A2422" s="20" t="s">
        <v>66</v>
      </c>
      <c r="B2422" s="21" t="s">
        <v>67</v>
      </c>
      <c r="C2422" s="15" t="str">
        <f>"20190118103"</f>
        <v>20190118103</v>
      </c>
      <c r="D2422" s="17">
        <v>61.5</v>
      </c>
    </row>
    <row r="2423" spans="1:4" ht="21.75" customHeight="1">
      <c r="A2423" s="20" t="s">
        <v>66</v>
      </c>
      <c r="B2423" s="21" t="s">
        <v>67</v>
      </c>
      <c r="C2423" s="15" t="str">
        <f>"20190118104"</f>
        <v>20190118104</v>
      </c>
      <c r="D2423" s="17">
        <v>55.5</v>
      </c>
    </row>
    <row r="2424" spans="1:4" ht="21.75" customHeight="1">
      <c r="A2424" s="20" t="s">
        <v>66</v>
      </c>
      <c r="B2424" s="21" t="s">
        <v>67</v>
      </c>
      <c r="C2424" s="15" t="str">
        <f>"20190118105"</f>
        <v>20190118105</v>
      </c>
      <c r="D2424" s="17">
        <v>57</v>
      </c>
    </row>
    <row r="2425" spans="1:4" ht="21.75" customHeight="1">
      <c r="A2425" s="20" t="s">
        <v>66</v>
      </c>
      <c r="B2425" s="21" t="s">
        <v>67</v>
      </c>
      <c r="C2425" s="15" t="str">
        <f>"20190118106"</f>
        <v>20190118106</v>
      </c>
      <c r="D2425" s="17">
        <v>57</v>
      </c>
    </row>
    <row r="2426" spans="1:4" ht="21.75" customHeight="1">
      <c r="A2426" s="20" t="s">
        <v>66</v>
      </c>
      <c r="B2426" s="21" t="s">
        <v>67</v>
      </c>
      <c r="C2426" s="15" t="str">
        <f>"20190118107"</f>
        <v>20190118107</v>
      </c>
      <c r="D2426" s="17">
        <v>61.5</v>
      </c>
    </row>
    <row r="2427" spans="1:4" ht="21.75" customHeight="1">
      <c r="A2427" s="20" t="s">
        <v>66</v>
      </c>
      <c r="B2427" s="21" t="s">
        <v>67</v>
      </c>
      <c r="C2427" s="15" t="str">
        <f>"20190118108"</f>
        <v>20190118108</v>
      </c>
      <c r="D2427" s="17" t="s">
        <v>12</v>
      </c>
    </row>
    <row r="2428" spans="1:4" ht="21.75" customHeight="1">
      <c r="A2428" s="20" t="s">
        <v>66</v>
      </c>
      <c r="B2428" s="21" t="s">
        <v>67</v>
      </c>
      <c r="C2428" s="15" t="str">
        <f>"20190118109"</f>
        <v>20190118109</v>
      </c>
      <c r="D2428" s="17">
        <v>65</v>
      </c>
    </row>
    <row r="2429" spans="1:4" ht="21.75" customHeight="1">
      <c r="A2429" s="20" t="s">
        <v>66</v>
      </c>
      <c r="B2429" s="21" t="s">
        <v>67</v>
      </c>
      <c r="C2429" s="15" t="str">
        <f>"20190118110"</f>
        <v>20190118110</v>
      </c>
      <c r="D2429" s="17" t="s">
        <v>12</v>
      </c>
    </row>
    <row r="2430" spans="1:4" ht="21.75" customHeight="1">
      <c r="A2430" s="20" t="s">
        <v>66</v>
      </c>
      <c r="B2430" s="21" t="s">
        <v>67</v>
      </c>
      <c r="C2430" s="15" t="str">
        <f>"20190118111"</f>
        <v>20190118111</v>
      </c>
      <c r="D2430" s="17">
        <v>59</v>
      </c>
    </row>
    <row r="2431" spans="1:4" ht="21.75" customHeight="1">
      <c r="A2431" s="20" t="s">
        <v>66</v>
      </c>
      <c r="B2431" s="21" t="s">
        <v>67</v>
      </c>
      <c r="C2431" s="15" t="str">
        <f>"20190118112"</f>
        <v>20190118112</v>
      </c>
      <c r="D2431" s="17">
        <v>65</v>
      </c>
    </row>
    <row r="2432" spans="1:4" ht="21.75" customHeight="1">
      <c r="A2432" s="20" t="s">
        <v>66</v>
      </c>
      <c r="B2432" s="21" t="s">
        <v>67</v>
      </c>
      <c r="C2432" s="15" t="str">
        <f>"20190118113"</f>
        <v>20190118113</v>
      </c>
      <c r="D2432" s="17">
        <v>48</v>
      </c>
    </row>
    <row r="2433" spans="1:4" ht="21.75" customHeight="1">
      <c r="A2433" s="20" t="s">
        <v>66</v>
      </c>
      <c r="B2433" s="21" t="s">
        <v>67</v>
      </c>
      <c r="C2433" s="15" t="str">
        <f>"20190118114"</f>
        <v>20190118114</v>
      </c>
      <c r="D2433" s="17">
        <v>47</v>
      </c>
    </row>
    <row r="2434" spans="1:4" ht="21.75" customHeight="1">
      <c r="A2434" s="20" t="s">
        <v>66</v>
      </c>
      <c r="B2434" s="21" t="s">
        <v>67</v>
      </c>
      <c r="C2434" s="15" t="str">
        <f>"20190118115"</f>
        <v>20190118115</v>
      </c>
      <c r="D2434" s="17">
        <v>53.5</v>
      </c>
    </row>
    <row r="2435" spans="1:4" ht="21.75" customHeight="1">
      <c r="A2435" s="20" t="s">
        <v>66</v>
      </c>
      <c r="B2435" s="21" t="s">
        <v>67</v>
      </c>
      <c r="C2435" s="15" t="str">
        <f>"20190118116"</f>
        <v>20190118116</v>
      </c>
      <c r="D2435" s="17">
        <v>58</v>
      </c>
    </row>
    <row r="2436" spans="1:4" ht="21.75" customHeight="1">
      <c r="A2436" s="20" t="s">
        <v>66</v>
      </c>
      <c r="B2436" s="21" t="s">
        <v>67</v>
      </c>
      <c r="C2436" s="15" t="str">
        <f>"20190118117"</f>
        <v>20190118117</v>
      </c>
      <c r="D2436" s="17">
        <v>59</v>
      </c>
    </row>
    <row r="2437" spans="1:4" ht="21.75" customHeight="1">
      <c r="A2437" s="20" t="s">
        <v>66</v>
      </c>
      <c r="B2437" s="21" t="s">
        <v>67</v>
      </c>
      <c r="C2437" s="15" t="str">
        <f>"20190118118"</f>
        <v>20190118118</v>
      </c>
      <c r="D2437" s="17">
        <v>51</v>
      </c>
    </row>
    <row r="2438" spans="1:4" ht="21.75" customHeight="1">
      <c r="A2438" s="15" t="s">
        <v>66</v>
      </c>
      <c r="B2438" s="16" t="s">
        <v>68</v>
      </c>
      <c r="C2438" s="15" t="str">
        <f>"20190118119"</f>
        <v>20190118119</v>
      </c>
      <c r="D2438" s="17">
        <v>52</v>
      </c>
    </row>
    <row r="2439" spans="1:4" ht="21.75" customHeight="1">
      <c r="A2439" s="15" t="s">
        <v>66</v>
      </c>
      <c r="B2439" s="16" t="s">
        <v>68</v>
      </c>
      <c r="C2439" s="15" t="str">
        <f>"20190118120"</f>
        <v>20190118120</v>
      </c>
      <c r="D2439" s="17">
        <v>59.5</v>
      </c>
    </row>
    <row r="2440" spans="1:4" ht="21.75" customHeight="1">
      <c r="A2440" s="15" t="s">
        <v>66</v>
      </c>
      <c r="B2440" s="16" t="s">
        <v>68</v>
      </c>
      <c r="C2440" s="15" t="str">
        <f>"20190118121"</f>
        <v>20190118121</v>
      </c>
      <c r="D2440" s="17">
        <v>66</v>
      </c>
    </row>
    <row r="2441" spans="1:4" ht="21.75" customHeight="1">
      <c r="A2441" s="15" t="s">
        <v>66</v>
      </c>
      <c r="B2441" s="16" t="s">
        <v>68</v>
      </c>
      <c r="C2441" s="15" t="str">
        <f>"20190118122"</f>
        <v>20190118122</v>
      </c>
      <c r="D2441" s="17">
        <v>62</v>
      </c>
    </row>
    <row r="2442" spans="1:4" ht="21.75" customHeight="1">
      <c r="A2442" s="15" t="s">
        <v>66</v>
      </c>
      <c r="B2442" s="16" t="s">
        <v>68</v>
      </c>
      <c r="C2442" s="15" t="str">
        <f>"20190118123"</f>
        <v>20190118123</v>
      </c>
      <c r="D2442" s="17">
        <v>58.5</v>
      </c>
    </row>
    <row r="2443" spans="1:4" ht="21.75" customHeight="1">
      <c r="A2443" s="15" t="s">
        <v>66</v>
      </c>
      <c r="B2443" s="16" t="s">
        <v>68</v>
      </c>
      <c r="C2443" s="15" t="str">
        <f>"20190118124"</f>
        <v>20190118124</v>
      </c>
      <c r="D2443" s="17">
        <v>65</v>
      </c>
    </row>
    <row r="2444" spans="1:4" ht="21.75" customHeight="1">
      <c r="A2444" s="15" t="s">
        <v>66</v>
      </c>
      <c r="B2444" s="16" t="s">
        <v>68</v>
      </c>
      <c r="C2444" s="15" t="str">
        <f>"20190118125"</f>
        <v>20190118125</v>
      </c>
      <c r="D2444" s="17">
        <v>56.5</v>
      </c>
    </row>
    <row r="2445" spans="1:4" ht="21.75" customHeight="1">
      <c r="A2445" s="15" t="s">
        <v>66</v>
      </c>
      <c r="B2445" s="16" t="s">
        <v>68</v>
      </c>
      <c r="C2445" s="15" t="str">
        <f>"20190118126"</f>
        <v>20190118126</v>
      </c>
      <c r="D2445" s="17">
        <v>62.5</v>
      </c>
    </row>
    <row r="2446" spans="1:4" ht="21.75" customHeight="1">
      <c r="A2446" s="15" t="s">
        <v>66</v>
      </c>
      <c r="B2446" s="16" t="s">
        <v>68</v>
      </c>
      <c r="C2446" s="15" t="str">
        <f>"20190118127"</f>
        <v>20190118127</v>
      </c>
      <c r="D2446" s="17">
        <v>53</v>
      </c>
    </row>
    <row r="2447" spans="1:4" ht="21.75" customHeight="1">
      <c r="A2447" s="15" t="s">
        <v>66</v>
      </c>
      <c r="B2447" s="16" t="s">
        <v>68</v>
      </c>
      <c r="C2447" s="15" t="str">
        <f>"20190118128"</f>
        <v>20190118128</v>
      </c>
      <c r="D2447" s="17">
        <v>53.5</v>
      </c>
    </row>
    <row r="2448" spans="1:4" ht="21.75" customHeight="1">
      <c r="A2448" s="15" t="s">
        <v>66</v>
      </c>
      <c r="B2448" s="16" t="s">
        <v>68</v>
      </c>
      <c r="C2448" s="15" t="str">
        <f>"20190118129"</f>
        <v>20190118129</v>
      </c>
      <c r="D2448" s="17">
        <v>52.5</v>
      </c>
    </row>
    <row r="2449" spans="1:4" ht="21.75" customHeight="1">
      <c r="A2449" s="15" t="s">
        <v>66</v>
      </c>
      <c r="B2449" s="16" t="s">
        <v>68</v>
      </c>
      <c r="C2449" s="15" t="str">
        <f>"20190118130"</f>
        <v>20190118130</v>
      </c>
      <c r="D2449" s="17">
        <v>60.5</v>
      </c>
    </row>
    <row r="2450" spans="1:4" ht="21.75" customHeight="1">
      <c r="A2450" s="15" t="s">
        <v>66</v>
      </c>
      <c r="B2450" s="16" t="s">
        <v>68</v>
      </c>
      <c r="C2450" s="15" t="str">
        <f>"20190118201"</f>
        <v>20190118201</v>
      </c>
      <c r="D2450" s="17">
        <v>59</v>
      </c>
    </row>
    <row r="2451" spans="1:4" ht="21.75" customHeight="1">
      <c r="A2451" s="15" t="s">
        <v>66</v>
      </c>
      <c r="B2451" s="16" t="s">
        <v>68</v>
      </c>
      <c r="C2451" s="15" t="str">
        <f>"20190118202"</f>
        <v>20190118202</v>
      </c>
      <c r="D2451" s="17" t="s">
        <v>12</v>
      </c>
    </row>
    <row r="2452" spans="1:4" ht="21.75" customHeight="1">
      <c r="A2452" s="15" t="s">
        <v>66</v>
      </c>
      <c r="B2452" s="16" t="s">
        <v>68</v>
      </c>
      <c r="C2452" s="15" t="str">
        <f>"20190118203"</f>
        <v>20190118203</v>
      </c>
      <c r="D2452" s="17">
        <v>58.5</v>
      </c>
    </row>
    <row r="2453" spans="1:4" ht="21.75" customHeight="1">
      <c r="A2453" s="15" t="s">
        <v>66</v>
      </c>
      <c r="B2453" s="16" t="s">
        <v>68</v>
      </c>
      <c r="C2453" s="15" t="str">
        <f>"20190118204"</f>
        <v>20190118204</v>
      </c>
      <c r="D2453" s="17" t="s">
        <v>12</v>
      </c>
    </row>
    <row r="2454" spans="1:4" ht="21.75" customHeight="1">
      <c r="A2454" s="15" t="s">
        <v>66</v>
      </c>
      <c r="B2454" s="16" t="s">
        <v>68</v>
      </c>
      <c r="C2454" s="15" t="str">
        <f>"20190118205"</f>
        <v>20190118205</v>
      </c>
      <c r="D2454" s="17">
        <v>59</v>
      </c>
    </row>
    <row r="2455" spans="1:4" ht="21.75" customHeight="1">
      <c r="A2455" s="15" t="s">
        <v>66</v>
      </c>
      <c r="B2455" s="16" t="s">
        <v>68</v>
      </c>
      <c r="C2455" s="15" t="str">
        <f>"20190118206"</f>
        <v>20190118206</v>
      </c>
      <c r="D2455" s="17">
        <v>63.5</v>
      </c>
    </row>
    <row r="2456" spans="1:4" ht="21.75" customHeight="1">
      <c r="A2456" s="15" t="s">
        <v>66</v>
      </c>
      <c r="B2456" s="16" t="s">
        <v>68</v>
      </c>
      <c r="C2456" s="15" t="str">
        <f>"20190118207"</f>
        <v>20190118207</v>
      </c>
      <c r="D2456" s="17">
        <v>51</v>
      </c>
    </row>
    <row r="2457" spans="1:4" ht="21.75" customHeight="1">
      <c r="A2457" s="15" t="s">
        <v>66</v>
      </c>
      <c r="B2457" s="16" t="s">
        <v>68</v>
      </c>
      <c r="C2457" s="15" t="str">
        <f>"20190118208"</f>
        <v>20190118208</v>
      </c>
      <c r="D2457" s="17">
        <v>67</v>
      </c>
    </row>
    <row r="2458" spans="1:4" ht="21.75" customHeight="1">
      <c r="A2458" s="15" t="s">
        <v>66</v>
      </c>
      <c r="B2458" s="16" t="s">
        <v>68</v>
      </c>
      <c r="C2458" s="15" t="str">
        <f>"20190118209"</f>
        <v>20190118209</v>
      </c>
      <c r="D2458" s="17">
        <v>50</v>
      </c>
    </row>
    <row r="2459" spans="1:4" ht="21.75" customHeight="1">
      <c r="A2459" s="15" t="s">
        <v>66</v>
      </c>
      <c r="B2459" s="16" t="s">
        <v>68</v>
      </c>
      <c r="C2459" s="15" t="str">
        <f>"20190118210"</f>
        <v>20190118210</v>
      </c>
      <c r="D2459" s="17">
        <v>52.5</v>
      </c>
    </row>
    <row r="2460" spans="1:4" ht="21.75" customHeight="1">
      <c r="A2460" s="15" t="s">
        <v>66</v>
      </c>
      <c r="B2460" s="16" t="s">
        <v>68</v>
      </c>
      <c r="C2460" s="15" t="str">
        <f>"20190118211"</f>
        <v>20190118211</v>
      </c>
      <c r="D2460" s="17">
        <v>62.5</v>
      </c>
    </row>
    <row r="2461" spans="1:4" ht="21.75" customHeight="1">
      <c r="A2461" s="15" t="s">
        <v>66</v>
      </c>
      <c r="B2461" s="16" t="s">
        <v>68</v>
      </c>
      <c r="C2461" s="15" t="str">
        <f>"20190118212"</f>
        <v>20190118212</v>
      </c>
      <c r="D2461" s="17">
        <v>64</v>
      </c>
    </row>
    <row r="2462" spans="1:4" ht="21.75" customHeight="1">
      <c r="A2462" s="15" t="s">
        <v>66</v>
      </c>
      <c r="B2462" s="16" t="s">
        <v>68</v>
      </c>
      <c r="C2462" s="15" t="str">
        <f>"20190118213"</f>
        <v>20190118213</v>
      </c>
      <c r="D2462" s="17">
        <v>54</v>
      </c>
    </row>
    <row r="2463" spans="1:4" ht="21.75" customHeight="1">
      <c r="A2463" s="15" t="s">
        <v>66</v>
      </c>
      <c r="B2463" s="16" t="s">
        <v>68</v>
      </c>
      <c r="C2463" s="15" t="str">
        <f>"20190118214"</f>
        <v>20190118214</v>
      </c>
      <c r="D2463" s="17">
        <v>57</v>
      </c>
    </row>
    <row r="2464" spans="1:4" ht="21.75" customHeight="1">
      <c r="A2464" s="15" t="s">
        <v>66</v>
      </c>
      <c r="B2464" s="16" t="s">
        <v>68</v>
      </c>
      <c r="C2464" s="15" t="str">
        <f>"20190118215"</f>
        <v>20190118215</v>
      </c>
      <c r="D2464" s="17" t="s">
        <v>12</v>
      </c>
    </row>
    <row r="2465" spans="1:4" ht="21.75" customHeight="1">
      <c r="A2465" s="15" t="s">
        <v>66</v>
      </c>
      <c r="B2465" s="16" t="s">
        <v>68</v>
      </c>
      <c r="C2465" s="15" t="str">
        <f>"20190118216"</f>
        <v>20190118216</v>
      </c>
      <c r="D2465" s="17">
        <v>60.5</v>
      </c>
    </row>
    <row r="2466" spans="1:4" ht="21.75" customHeight="1">
      <c r="A2466" s="15" t="s">
        <v>66</v>
      </c>
      <c r="B2466" s="16" t="s">
        <v>68</v>
      </c>
      <c r="C2466" s="15" t="str">
        <f>"20190118217"</f>
        <v>20190118217</v>
      </c>
      <c r="D2466" s="17">
        <v>60</v>
      </c>
    </row>
    <row r="2467" spans="1:4" ht="21.75" customHeight="1">
      <c r="A2467" s="15" t="s">
        <v>66</v>
      </c>
      <c r="B2467" s="16" t="s">
        <v>68</v>
      </c>
      <c r="C2467" s="15" t="str">
        <f>"20190118218"</f>
        <v>20190118218</v>
      </c>
      <c r="D2467" s="17">
        <v>50.5</v>
      </c>
    </row>
    <row r="2468" spans="1:4" ht="21.75" customHeight="1">
      <c r="A2468" s="15" t="s">
        <v>66</v>
      </c>
      <c r="B2468" s="16" t="s">
        <v>68</v>
      </c>
      <c r="C2468" s="15" t="str">
        <f>"20190118219"</f>
        <v>20190118219</v>
      </c>
      <c r="D2468" s="17">
        <v>57</v>
      </c>
    </row>
    <row r="2469" spans="1:4" ht="21.75" customHeight="1">
      <c r="A2469" s="15" t="s">
        <v>66</v>
      </c>
      <c r="B2469" s="16" t="s">
        <v>68</v>
      </c>
      <c r="C2469" s="15" t="str">
        <f>"20190118220"</f>
        <v>20190118220</v>
      </c>
      <c r="D2469" s="17">
        <v>65</v>
      </c>
    </row>
    <row r="2470" spans="1:5" ht="21.75" customHeight="1">
      <c r="A2470" s="15" t="s">
        <v>66</v>
      </c>
      <c r="B2470" s="16" t="s">
        <v>68</v>
      </c>
      <c r="C2470" s="15" t="str">
        <f>"20190118221"</f>
        <v>20190118221</v>
      </c>
      <c r="D2470" s="17">
        <v>72.5</v>
      </c>
      <c r="E2470" s="18" t="s">
        <v>9</v>
      </c>
    </row>
    <row r="2471" spans="1:4" ht="21.75" customHeight="1">
      <c r="A2471" s="15" t="s">
        <v>66</v>
      </c>
      <c r="B2471" s="16" t="s">
        <v>68</v>
      </c>
      <c r="C2471" s="15" t="str">
        <f>"20190118222"</f>
        <v>20190118222</v>
      </c>
      <c r="D2471" s="17">
        <v>66.5</v>
      </c>
    </row>
    <row r="2472" spans="1:4" ht="21.75" customHeight="1">
      <c r="A2472" s="15" t="s">
        <v>66</v>
      </c>
      <c r="B2472" s="16" t="s">
        <v>68</v>
      </c>
      <c r="C2472" s="15" t="str">
        <f>"20190118223"</f>
        <v>20190118223</v>
      </c>
      <c r="D2472" s="17">
        <v>56</v>
      </c>
    </row>
    <row r="2473" spans="1:4" ht="21.75" customHeight="1">
      <c r="A2473" s="15" t="s">
        <v>66</v>
      </c>
      <c r="B2473" s="16" t="s">
        <v>68</v>
      </c>
      <c r="C2473" s="15" t="str">
        <f>"20190118224"</f>
        <v>20190118224</v>
      </c>
      <c r="D2473" s="17">
        <v>53.5</v>
      </c>
    </row>
    <row r="2474" spans="1:4" ht="21.75" customHeight="1">
      <c r="A2474" s="15" t="s">
        <v>66</v>
      </c>
      <c r="B2474" s="16" t="s">
        <v>68</v>
      </c>
      <c r="C2474" s="15" t="str">
        <f>"20190118225"</f>
        <v>20190118225</v>
      </c>
      <c r="D2474" s="17">
        <v>60</v>
      </c>
    </row>
    <row r="2475" spans="1:4" ht="21.75" customHeight="1">
      <c r="A2475" s="15" t="s">
        <v>66</v>
      </c>
      <c r="B2475" s="16" t="s">
        <v>68</v>
      </c>
      <c r="C2475" s="15" t="str">
        <f>"20190118226"</f>
        <v>20190118226</v>
      </c>
      <c r="D2475" s="17">
        <v>62.5</v>
      </c>
    </row>
    <row r="2476" spans="1:4" ht="21.75" customHeight="1">
      <c r="A2476" s="15" t="s">
        <v>66</v>
      </c>
      <c r="B2476" s="16" t="s">
        <v>68</v>
      </c>
      <c r="C2476" s="15" t="str">
        <f>"20190118227"</f>
        <v>20190118227</v>
      </c>
      <c r="D2476" s="17">
        <v>66</v>
      </c>
    </row>
    <row r="2477" spans="1:4" ht="21.75" customHeight="1">
      <c r="A2477" s="15" t="s">
        <v>66</v>
      </c>
      <c r="B2477" s="16" t="s">
        <v>68</v>
      </c>
      <c r="C2477" s="15" t="str">
        <f>"20190118228"</f>
        <v>20190118228</v>
      </c>
      <c r="D2477" s="17">
        <v>48.5</v>
      </c>
    </row>
    <row r="2478" spans="1:4" ht="21.75" customHeight="1">
      <c r="A2478" s="15" t="s">
        <v>66</v>
      </c>
      <c r="B2478" s="16" t="s">
        <v>68</v>
      </c>
      <c r="C2478" s="15" t="str">
        <f>"20190118229"</f>
        <v>20190118229</v>
      </c>
      <c r="D2478" s="17">
        <v>48.5</v>
      </c>
    </row>
    <row r="2479" spans="1:4" ht="21.75" customHeight="1">
      <c r="A2479" s="15" t="s">
        <v>66</v>
      </c>
      <c r="B2479" s="16" t="s">
        <v>68</v>
      </c>
      <c r="C2479" s="15" t="str">
        <f>"20190118230"</f>
        <v>20190118230</v>
      </c>
      <c r="D2479" s="17" t="s">
        <v>12</v>
      </c>
    </row>
    <row r="2480" spans="1:4" ht="21.75" customHeight="1">
      <c r="A2480" s="15" t="s">
        <v>66</v>
      </c>
      <c r="B2480" s="16" t="s">
        <v>68</v>
      </c>
      <c r="C2480" s="15" t="str">
        <f>"20190118301"</f>
        <v>20190118301</v>
      </c>
      <c r="D2480" s="17">
        <v>48</v>
      </c>
    </row>
    <row r="2481" spans="1:4" ht="21.75" customHeight="1">
      <c r="A2481" s="15" t="s">
        <v>66</v>
      </c>
      <c r="B2481" s="16" t="s">
        <v>68</v>
      </c>
      <c r="C2481" s="15" t="str">
        <f>"20190118302"</f>
        <v>20190118302</v>
      </c>
      <c r="D2481" s="17">
        <v>58</v>
      </c>
    </row>
    <row r="2482" spans="1:4" ht="21.75" customHeight="1">
      <c r="A2482" s="15" t="s">
        <v>66</v>
      </c>
      <c r="B2482" s="16" t="s">
        <v>68</v>
      </c>
      <c r="C2482" s="15" t="str">
        <f>"20190118303"</f>
        <v>20190118303</v>
      </c>
      <c r="D2482" s="17">
        <v>51.5</v>
      </c>
    </row>
    <row r="2483" spans="1:4" ht="21.75" customHeight="1">
      <c r="A2483" s="15" t="s">
        <v>66</v>
      </c>
      <c r="B2483" s="16" t="s">
        <v>68</v>
      </c>
      <c r="C2483" s="15" t="str">
        <f>"20190118304"</f>
        <v>20190118304</v>
      </c>
      <c r="D2483" s="17">
        <v>48.5</v>
      </c>
    </row>
    <row r="2484" spans="1:4" ht="21.75" customHeight="1">
      <c r="A2484" s="15" t="s">
        <v>66</v>
      </c>
      <c r="B2484" s="16" t="s">
        <v>68</v>
      </c>
      <c r="C2484" s="15" t="str">
        <f>"20190118305"</f>
        <v>20190118305</v>
      </c>
      <c r="D2484" s="17">
        <v>56.5</v>
      </c>
    </row>
    <row r="2485" spans="1:4" ht="21.75" customHeight="1">
      <c r="A2485" s="15" t="s">
        <v>66</v>
      </c>
      <c r="B2485" s="16" t="s">
        <v>68</v>
      </c>
      <c r="C2485" s="15" t="str">
        <f>"20190118306"</f>
        <v>20190118306</v>
      </c>
      <c r="D2485" s="17">
        <v>59.5</v>
      </c>
    </row>
    <row r="2486" spans="1:4" ht="21.75" customHeight="1">
      <c r="A2486" s="15" t="s">
        <v>66</v>
      </c>
      <c r="B2486" s="16" t="s">
        <v>68</v>
      </c>
      <c r="C2486" s="15" t="str">
        <f>"20190118307"</f>
        <v>20190118307</v>
      </c>
      <c r="D2486" s="17">
        <v>55</v>
      </c>
    </row>
    <row r="2487" spans="1:5" ht="21.75" customHeight="1">
      <c r="A2487" s="15" t="s">
        <v>66</v>
      </c>
      <c r="B2487" s="16" t="s">
        <v>68</v>
      </c>
      <c r="C2487" s="15" t="str">
        <f>"20190118308"</f>
        <v>20190118308</v>
      </c>
      <c r="D2487" s="17">
        <v>77</v>
      </c>
      <c r="E2487" s="18" t="s">
        <v>9</v>
      </c>
    </row>
    <row r="2488" spans="1:4" ht="21.75" customHeight="1">
      <c r="A2488" s="15" t="s">
        <v>66</v>
      </c>
      <c r="B2488" s="16" t="s">
        <v>68</v>
      </c>
      <c r="C2488" s="15" t="str">
        <f>"20190118309"</f>
        <v>20190118309</v>
      </c>
      <c r="D2488" s="17">
        <v>58</v>
      </c>
    </row>
    <row r="2489" spans="1:4" ht="21.75" customHeight="1">
      <c r="A2489" s="15" t="s">
        <v>66</v>
      </c>
      <c r="B2489" s="16" t="s">
        <v>68</v>
      </c>
      <c r="C2489" s="15" t="str">
        <f>"20190118310"</f>
        <v>20190118310</v>
      </c>
      <c r="D2489" s="17">
        <v>62.5</v>
      </c>
    </row>
    <row r="2490" spans="1:4" ht="21.75" customHeight="1">
      <c r="A2490" s="15" t="s">
        <v>66</v>
      </c>
      <c r="B2490" s="16" t="s">
        <v>68</v>
      </c>
      <c r="C2490" s="15" t="str">
        <f>"20190118311"</f>
        <v>20190118311</v>
      </c>
      <c r="D2490" s="17">
        <v>56</v>
      </c>
    </row>
    <row r="2491" spans="1:4" ht="21.75" customHeight="1">
      <c r="A2491" s="15" t="s">
        <v>66</v>
      </c>
      <c r="B2491" s="16" t="s">
        <v>68</v>
      </c>
      <c r="C2491" s="15" t="str">
        <f>"20190118312"</f>
        <v>20190118312</v>
      </c>
      <c r="D2491" s="17">
        <v>62</v>
      </c>
    </row>
    <row r="2492" spans="1:4" ht="21.75" customHeight="1">
      <c r="A2492" s="15" t="s">
        <v>66</v>
      </c>
      <c r="B2492" s="16" t="s">
        <v>68</v>
      </c>
      <c r="C2492" s="15" t="str">
        <f>"20190118313"</f>
        <v>20190118313</v>
      </c>
      <c r="D2492" s="17">
        <v>63.5</v>
      </c>
    </row>
    <row r="2493" spans="1:4" ht="21.75" customHeight="1">
      <c r="A2493" s="15" t="s">
        <v>66</v>
      </c>
      <c r="B2493" s="16" t="s">
        <v>68</v>
      </c>
      <c r="C2493" s="15" t="str">
        <f>"20190118314"</f>
        <v>20190118314</v>
      </c>
      <c r="D2493" s="17">
        <v>51</v>
      </c>
    </row>
    <row r="2494" spans="1:4" ht="21.75" customHeight="1">
      <c r="A2494" s="15" t="s">
        <v>66</v>
      </c>
      <c r="B2494" s="16" t="s">
        <v>68</v>
      </c>
      <c r="C2494" s="15" t="str">
        <f>"20190118315"</f>
        <v>20190118315</v>
      </c>
      <c r="D2494" s="17" t="s">
        <v>12</v>
      </c>
    </row>
    <row r="2495" spans="1:4" ht="21.75" customHeight="1">
      <c r="A2495" s="15" t="s">
        <v>66</v>
      </c>
      <c r="B2495" s="16" t="s">
        <v>68</v>
      </c>
      <c r="C2495" s="15" t="str">
        <f>"20190118316"</f>
        <v>20190118316</v>
      </c>
      <c r="D2495" s="17">
        <v>63</v>
      </c>
    </row>
    <row r="2496" spans="1:4" ht="21.75" customHeight="1">
      <c r="A2496" s="15" t="s">
        <v>66</v>
      </c>
      <c r="B2496" s="16" t="s">
        <v>68</v>
      </c>
      <c r="C2496" s="15" t="str">
        <f>"20190118317"</f>
        <v>20190118317</v>
      </c>
      <c r="D2496" s="17">
        <v>68</v>
      </c>
    </row>
    <row r="2497" spans="1:4" ht="21.75" customHeight="1">
      <c r="A2497" s="15" t="s">
        <v>66</v>
      </c>
      <c r="B2497" s="16" t="s">
        <v>68</v>
      </c>
      <c r="C2497" s="15" t="str">
        <f>"20190118318"</f>
        <v>20190118318</v>
      </c>
      <c r="D2497" s="17" t="s">
        <v>12</v>
      </c>
    </row>
    <row r="2498" spans="1:4" ht="21.75" customHeight="1">
      <c r="A2498" s="15" t="s">
        <v>66</v>
      </c>
      <c r="B2498" s="16" t="s">
        <v>68</v>
      </c>
      <c r="C2498" s="15" t="str">
        <f>"20190118319"</f>
        <v>20190118319</v>
      </c>
      <c r="D2498" s="17">
        <v>50</v>
      </c>
    </row>
    <row r="2499" spans="1:4" ht="21.75" customHeight="1">
      <c r="A2499" s="15" t="s">
        <v>66</v>
      </c>
      <c r="B2499" s="16" t="s">
        <v>68</v>
      </c>
      <c r="C2499" s="15" t="str">
        <f>"20190118320"</f>
        <v>20190118320</v>
      </c>
      <c r="D2499" s="17">
        <v>66</v>
      </c>
    </row>
    <row r="2500" spans="1:4" ht="21.75" customHeight="1">
      <c r="A2500" s="15" t="s">
        <v>66</v>
      </c>
      <c r="B2500" s="16" t="s">
        <v>68</v>
      </c>
      <c r="C2500" s="15" t="str">
        <f>"20190118321"</f>
        <v>20190118321</v>
      </c>
      <c r="D2500" s="17">
        <v>52</v>
      </c>
    </row>
    <row r="2501" spans="1:4" ht="21.75" customHeight="1">
      <c r="A2501" s="15" t="s">
        <v>66</v>
      </c>
      <c r="B2501" s="16" t="s">
        <v>68</v>
      </c>
      <c r="C2501" s="15" t="str">
        <f>"20190118322"</f>
        <v>20190118322</v>
      </c>
      <c r="D2501" s="17">
        <v>68</v>
      </c>
    </row>
    <row r="2502" spans="1:4" ht="21.75" customHeight="1">
      <c r="A2502" s="15" t="s">
        <v>66</v>
      </c>
      <c r="B2502" s="16" t="s">
        <v>68</v>
      </c>
      <c r="C2502" s="15" t="str">
        <f>"20190118323"</f>
        <v>20190118323</v>
      </c>
      <c r="D2502" s="17">
        <v>62.5</v>
      </c>
    </row>
    <row r="2503" spans="1:4" ht="21.75" customHeight="1">
      <c r="A2503" s="15" t="s">
        <v>66</v>
      </c>
      <c r="B2503" s="16" t="s">
        <v>68</v>
      </c>
      <c r="C2503" s="15" t="str">
        <f>"20190118324"</f>
        <v>20190118324</v>
      </c>
      <c r="D2503" s="17">
        <v>56.5</v>
      </c>
    </row>
    <row r="2504" spans="1:5" ht="21.75" customHeight="1">
      <c r="A2504" s="15" t="s">
        <v>66</v>
      </c>
      <c r="B2504" s="16" t="s">
        <v>68</v>
      </c>
      <c r="C2504" s="15" t="str">
        <f>"20190118325"</f>
        <v>20190118325</v>
      </c>
      <c r="D2504" s="17">
        <v>56</v>
      </c>
      <c r="E2504" s="19"/>
    </row>
    <row r="2505" spans="1:5" ht="21.75" customHeight="1">
      <c r="A2505" s="15" t="s">
        <v>66</v>
      </c>
      <c r="B2505" s="16" t="s">
        <v>68</v>
      </c>
      <c r="C2505" s="15" t="str">
        <f>"20190118326"</f>
        <v>20190118326</v>
      </c>
      <c r="D2505" s="17">
        <v>65.5</v>
      </c>
      <c r="E2505" s="19"/>
    </row>
    <row r="2506" spans="1:5" ht="21.75" customHeight="1">
      <c r="A2506" s="15" t="s">
        <v>66</v>
      </c>
      <c r="B2506" s="16" t="s">
        <v>68</v>
      </c>
      <c r="C2506" s="15" t="str">
        <f>"20190118327"</f>
        <v>20190118327</v>
      </c>
      <c r="D2506" s="17">
        <v>66.5</v>
      </c>
      <c r="E2506" s="19"/>
    </row>
    <row r="2507" spans="1:4" ht="21.75" customHeight="1">
      <c r="A2507" s="15" t="s">
        <v>66</v>
      </c>
      <c r="B2507" s="16" t="s">
        <v>68</v>
      </c>
      <c r="C2507" s="15" t="str">
        <f>"20190118328"</f>
        <v>20190118328</v>
      </c>
      <c r="D2507" s="17">
        <v>58.5</v>
      </c>
    </row>
    <row r="2508" spans="1:4" ht="21.75" customHeight="1">
      <c r="A2508" s="15" t="s">
        <v>66</v>
      </c>
      <c r="B2508" s="16" t="s">
        <v>68</v>
      </c>
      <c r="C2508" s="15" t="str">
        <f>"20190118329"</f>
        <v>20190118329</v>
      </c>
      <c r="D2508" s="17">
        <v>59</v>
      </c>
    </row>
    <row r="2509" spans="1:4" ht="21.75" customHeight="1">
      <c r="A2509" s="15" t="s">
        <v>66</v>
      </c>
      <c r="B2509" s="16" t="s">
        <v>68</v>
      </c>
      <c r="C2509" s="15" t="str">
        <f>"20190118330"</f>
        <v>20190118330</v>
      </c>
      <c r="D2509" s="17">
        <v>59</v>
      </c>
    </row>
    <row r="2510" spans="1:4" ht="21.75" customHeight="1">
      <c r="A2510" s="15" t="s">
        <v>66</v>
      </c>
      <c r="B2510" s="16" t="s">
        <v>68</v>
      </c>
      <c r="C2510" s="15" t="str">
        <f>"20190118401"</f>
        <v>20190118401</v>
      </c>
      <c r="D2510" s="17" t="s">
        <v>12</v>
      </c>
    </row>
    <row r="2511" spans="1:4" ht="21.75" customHeight="1">
      <c r="A2511" s="15" t="s">
        <v>66</v>
      </c>
      <c r="B2511" s="16" t="s">
        <v>68</v>
      </c>
      <c r="C2511" s="15" t="str">
        <f>"20190118402"</f>
        <v>20190118402</v>
      </c>
      <c r="D2511" s="17">
        <v>60.5</v>
      </c>
    </row>
    <row r="2512" spans="1:4" ht="21.75" customHeight="1">
      <c r="A2512" s="15" t="s">
        <v>66</v>
      </c>
      <c r="B2512" s="16" t="s">
        <v>68</v>
      </c>
      <c r="C2512" s="15" t="str">
        <f>"20190118403"</f>
        <v>20190118403</v>
      </c>
      <c r="D2512" s="17">
        <v>49</v>
      </c>
    </row>
    <row r="2513" spans="1:4" ht="21.75" customHeight="1">
      <c r="A2513" s="15" t="s">
        <v>66</v>
      </c>
      <c r="B2513" s="16" t="s">
        <v>68</v>
      </c>
      <c r="C2513" s="15" t="str">
        <f>"20190118404"</f>
        <v>20190118404</v>
      </c>
      <c r="D2513" s="17">
        <v>57</v>
      </c>
    </row>
    <row r="2514" spans="1:4" ht="21.75" customHeight="1">
      <c r="A2514" s="15" t="s">
        <v>66</v>
      </c>
      <c r="B2514" s="16" t="s">
        <v>68</v>
      </c>
      <c r="C2514" s="15" t="str">
        <f>"20190118405"</f>
        <v>20190118405</v>
      </c>
      <c r="D2514" s="17">
        <v>68</v>
      </c>
    </row>
    <row r="2515" spans="1:4" ht="21.75" customHeight="1">
      <c r="A2515" s="15" t="s">
        <v>66</v>
      </c>
      <c r="B2515" s="16" t="s">
        <v>68</v>
      </c>
      <c r="C2515" s="15" t="str">
        <f>"20190118406"</f>
        <v>20190118406</v>
      </c>
      <c r="D2515" s="17">
        <v>65.5</v>
      </c>
    </row>
    <row r="2516" spans="1:4" ht="21.75" customHeight="1">
      <c r="A2516" s="15" t="s">
        <v>66</v>
      </c>
      <c r="B2516" s="16" t="s">
        <v>68</v>
      </c>
      <c r="C2516" s="15" t="str">
        <f>"20190118407"</f>
        <v>20190118407</v>
      </c>
      <c r="D2516" s="17">
        <v>47</v>
      </c>
    </row>
    <row r="2517" spans="1:4" ht="21.75" customHeight="1">
      <c r="A2517" s="15" t="s">
        <v>66</v>
      </c>
      <c r="B2517" s="16" t="s">
        <v>68</v>
      </c>
      <c r="C2517" s="15" t="str">
        <f>"20190118408"</f>
        <v>20190118408</v>
      </c>
      <c r="D2517" s="17">
        <v>53</v>
      </c>
    </row>
    <row r="2518" spans="1:4" ht="21.75" customHeight="1">
      <c r="A2518" s="15" t="s">
        <v>66</v>
      </c>
      <c r="B2518" s="16" t="s">
        <v>68</v>
      </c>
      <c r="C2518" s="15" t="str">
        <f>"20190118409"</f>
        <v>20190118409</v>
      </c>
      <c r="D2518" s="17">
        <v>58</v>
      </c>
    </row>
    <row r="2519" spans="1:4" ht="21.75" customHeight="1">
      <c r="A2519" s="15" t="s">
        <v>66</v>
      </c>
      <c r="B2519" s="16" t="s">
        <v>68</v>
      </c>
      <c r="C2519" s="15" t="str">
        <f>"20190118410"</f>
        <v>20190118410</v>
      </c>
      <c r="D2519" s="17">
        <v>46.5</v>
      </c>
    </row>
    <row r="2520" spans="1:4" ht="21.75" customHeight="1">
      <c r="A2520" s="15" t="s">
        <v>66</v>
      </c>
      <c r="B2520" s="16" t="s">
        <v>68</v>
      </c>
      <c r="C2520" s="15" t="str">
        <f>"20190118411"</f>
        <v>20190118411</v>
      </c>
      <c r="D2520" s="17">
        <v>53.5</v>
      </c>
    </row>
    <row r="2521" spans="1:4" ht="21.75" customHeight="1">
      <c r="A2521" s="15" t="s">
        <v>66</v>
      </c>
      <c r="B2521" s="16" t="s">
        <v>68</v>
      </c>
      <c r="C2521" s="15" t="str">
        <f>"20190118412"</f>
        <v>20190118412</v>
      </c>
      <c r="D2521" s="17">
        <v>53</v>
      </c>
    </row>
    <row r="2522" spans="1:4" ht="21.75" customHeight="1">
      <c r="A2522" s="15" t="s">
        <v>66</v>
      </c>
      <c r="B2522" s="16" t="s">
        <v>68</v>
      </c>
      <c r="C2522" s="15" t="str">
        <f>"20190118413"</f>
        <v>20190118413</v>
      </c>
      <c r="D2522" s="17">
        <v>50.5</v>
      </c>
    </row>
    <row r="2523" spans="1:4" ht="21.75" customHeight="1">
      <c r="A2523" s="15" t="s">
        <v>66</v>
      </c>
      <c r="B2523" s="16" t="s">
        <v>68</v>
      </c>
      <c r="C2523" s="15" t="str">
        <f>"20190118414"</f>
        <v>20190118414</v>
      </c>
      <c r="D2523" s="17">
        <v>48</v>
      </c>
    </row>
    <row r="2524" spans="1:5" ht="21.75" customHeight="1">
      <c r="A2524" s="15" t="s">
        <v>66</v>
      </c>
      <c r="B2524" s="16" t="s">
        <v>68</v>
      </c>
      <c r="C2524" s="15" t="str">
        <f>"20190118415"</f>
        <v>20190118415</v>
      </c>
      <c r="D2524" s="17">
        <v>73</v>
      </c>
      <c r="E2524" s="18" t="s">
        <v>9</v>
      </c>
    </row>
    <row r="2525" spans="1:4" ht="21.75" customHeight="1">
      <c r="A2525" s="15" t="s">
        <v>66</v>
      </c>
      <c r="B2525" s="16" t="s">
        <v>68</v>
      </c>
      <c r="C2525" s="15" t="str">
        <f>"20190118416"</f>
        <v>20190118416</v>
      </c>
      <c r="D2525" s="17" t="s">
        <v>12</v>
      </c>
    </row>
    <row r="2526" spans="1:4" ht="21.75" customHeight="1">
      <c r="A2526" s="15" t="s">
        <v>66</v>
      </c>
      <c r="B2526" s="16" t="s">
        <v>68</v>
      </c>
      <c r="C2526" s="15" t="str">
        <f>"20190118417"</f>
        <v>20190118417</v>
      </c>
      <c r="D2526" s="17">
        <v>71.5</v>
      </c>
    </row>
    <row r="2527" spans="1:4" ht="21.75" customHeight="1">
      <c r="A2527" s="15" t="s">
        <v>66</v>
      </c>
      <c r="B2527" s="16" t="s">
        <v>68</v>
      </c>
      <c r="C2527" s="15" t="str">
        <f>"20190118418"</f>
        <v>20190118418</v>
      </c>
      <c r="D2527" s="17">
        <v>59.5</v>
      </c>
    </row>
    <row r="2528" spans="1:4" ht="21.75" customHeight="1">
      <c r="A2528" s="15" t="s">
        <v>66</v>
      </c>
      <c r="B2528" s="16" t="s">
        <v>68</v>
      </c>
      <c r="C2528" s="15" t="str">
        <f>"20190118419"</f>
        <v>20190118419</v>
      </c>
      <c r="D2528" s="17" t="s">
        <v>12</v>
      </c>
    </row>
    <row r="2529" spans="1:4" ht="21.75" customHeight="1">
      <c r="A2529" s="15" t="s">
        <v>66</v>
      </c>
      <c r="B2529" s="16" t="s">
        <v>68</v>
      </c>
      <c r="C2529" s="15" t="str">
        <f>"20190118420"</f>
        <v>20190118420</v>
      </c>
      <c r="D2529" s="17">
        <v>61.5</v>
      </c>
    </row>
    <row r="2530" spans="1:4" ht="21.75" customHeight="1">
      <c r="A2530" s="15" t="s">
        <v>66</v>
      </c>
      <c r="B2530" s="16" t="s">
        <v>68</v>
      </c>
      <c r="C2530" s="15" t="str">
        <f>"20190118421"</f>
        <v>20190118421</v>
      </c>
      <c r="D2530" s="17">
        <v>52</v>
      </c>
    </row>
    <row r="2531" spans="1:4" ht="21.75" customHeight="1">
      <c r="A2531" s="15" t="s">
        <v>66</v>
      </c>
      <c r="B2531" s="16" t="s">
        <v>68</v>
      </c>
      <c r="C2531" s="15" t="str">
        <f>"20190118422"</f>
        <v>20190118422</v>
      </c>
      <c r="D2531" s="17">
        <v>54</v>
      </c>
    </row>
    <row r="2532" spans="1:4" ht="21.75" customHeight="1">
      <c r="A2532" s="15" t="s">
        <v>66</v>
      </c>
      <c r="B2532" s="16" t="s">
        <v>68</v>
      </c>
      <c r="C2532" s="15" t="str">
        <f>"20190118423"</f>
        <v>20190118423</v>
      </c>
      <c r="D2532" s="17">
        <v>64</v>
      </c>
    </row>
    <row r="2533" spans="1:4" ht="21.75" customHeight="1">
      <c r="A2533" s="15" t="s">
        <v>66</v>
      </c>
      <c r="B2533" s="16" t="s">
        <v>68</v>
      </c>
      <c r="C2533" s="15" t="str">
        <f>"20190118424"</f>
        <v>20190118424</v>
      </c>
      <c r="D2533" s="17">
        <v>67.5</v>
      </c>
    </row>
    <row r="2534" spans="1:4" ht="21.75" customHeight="1">
      <c r="A2534" s="15" t="s">
        <v>66</v>
      </c>
      <c r="B2534" s="16" t="s">
        <v>68</v>
      </c>
      <c r="C2534" s="15" t="str">
        <f>"20190118425"</f>
        <v>20190118425</v>
      </c>
      <c r="D2534" s="17">
        <v>56</v>
      </c>
    </row>
    <row r="2535" spans="1:4" ht="21.75" customHeight="1">
      <c r="A2535" s="15" t="s">
        <v>66</v>
      </c>
      <c r="B2535" s="16" t="s">
        <v>68</v>
      </c>
      <c r="C2535" s="15" t="str">
        <f>"20190118426"</f>
        <v>20190118426</v>
      </c>
      <c r="D2535" s="17">
        <v>55.5</v>
      </c>
    </row>
    <row r="2536" spans="1:4" ht="21.75" customHeight="1">
      <c r="A2536" s="15" t="s">
        <v>66</v>
      </c>
      <c r="B2536" s="16" t="s">
        <v>68</v>
      </c>
      <c r="C2536" s="15" t="str">
        <f>"20190118427"</f>
        <v>20190118427</v>
      </c>
      <c r="D2536" s="17">
        <v>56</v>
      </c>
    </row>
    <row r="2537" spans="1:4" ht="21.75" customHeight="1">
      <c r="A2537" s="15" t="s">
        <v>66</v>
      </c>
      <c r="B2537" s="16" t="s">
        <v>68</v>
      </c>
      <c r="C2537" s="15" t="str">
        <f>"20190118428"</f>
        <v>20190118428</v>
      </c>
      <c r="D2537" s="17" t="s">
        <v>12</v>
      </c>
    </row>
    <row r="2538" spans="1:4" ht="21.75" customHeight="1">
      <c r="A2538" s="15" t="s">
        <v>66</v>
      </c>
      <c r="B2538" s="16" t="s">
        <v>68</v>
      </c>
      <c r="C2538" s="15" t="str">
        <f>"20190118429"</f>
        <v>20190118429</v>
      </c>
      <c r="D2538" s="17">
        <v>61</v>
      </c>
    </row>
    <row r="2539" spans="1:5" ht="21.75" customHeight="1">
      <c r="A2539" s="15" t="s">
        <v>66</v>
      </c>
      <c r="B2539" s="16" t="s">
        <v>68</v>
      </c>
      <c r="C2539" s="15" t="str">
        <f>"20190118430"</f>
        <v>20190118430</v>
      </c>
      <c r="D2539" s="17">
        <v>46.5</v>
      </c>
      <c r="E2539" s="19"/>
    </row>
    <row r="2540" spans="1:5" ht="21.75" customHeight="1">
      <c r="A2540" s="15" t="s">
        <v>66</v>
      </c>
      <c r="B2540" s="16" t="s">
        <v>68</v>
      </c>
      <c r="C2540" s="15" t="str">
        <f>"20190118501"</f>
        <v>20190118501</v>
      </c>
      <c r="D2540" s="17">
        <v>52</v>
      </c>
      <c r="E2540" s="19"/>
    </row>
    <row r="2541" spans="1:5" ht="21.75" customHeight="1">
      <c r="A2541" s="15" t="s">
        <v>66</v>
      </c>
      <c r="B2541" s="16" t="s">
        <v>68</v>
      </c>
      <c r="C2541" s="15" t="str">
        <f>"20190118502"</f>
        <v>20190118502</v>
      </c>
      <c r="D2541" s="17">
        <v>59.5</v>
      </c>
      <c r="E2541" s="19"/>
    </row>
    <row r="2542" spans="1:4" ht="21.75" customHeight="1">
      <c r="A2542" s="15" t="s">
        <v>66</v>
      </c>
      <c r="B2542" s="16" t="s">
        <v>68</v>
      </c>
      <c r="C2542" s="15" t="str">
        <f>"20190118503"</f>
        <v>20190118503</v>
      </c>
      <c r="D2542" s="17">
        <v>59.5</v>
      </c>
    </row>
    <row r="2543" spans="1:4" ht="21.75" customHeight="1">
      <c r="A2543" s="15" t="s">
        <v>66</v>
      </c>
      <c r="B2543" s="16" t="s">
        <v>68</v>
      </c>
      <c r="C2543" s="15" t="str">
        <f>"20190118504"</f>
        <v>20190118504</v>
      </c>
      <c r="D2543" s="17" t="s">
        <v>12</v>
      </c>
    </row>
    <row r="2544" spans="1:4" ht="21.75" customHeight="1">
      <c r="A2544" s="15" t="s">
        <v>66</v>
      </c>
      <c r="B2544" s="16" t="s">
        <v>68</v>
      </c>
      <c r="C2544" s="15" t="str">
        <f>"20190118505"</f>
        <v>20190118505</v>
      </c>
      <c r="D2544" s="17">
        <v>56.5</v>
      </c>
    </row>
    <row r="2545" spans="1:4" ht="21.75" customHeight="1">
      <c r="A2545" s="15" t="s">
        <v>66</v>
      </c>
      <c r="B2545" s="16" t="s">
        <v>68</v>
      </c>
      <c r="C2545" s="15" t="str">
        <f>"20190118506"</f>
        <v>20190118506</v>
      </c>
      <c r="D2545" s="17">
        <v>54.5</v>
      </c>
    </row>
    <row r="2546" spans="1:4" ht="21.75" customHeight="1">
      <c r="A2546" s="15" t="s">
        <v>66</v>
      </c>
      <c r="B2546" s="16" t="s">
        <v>68</v>
      </c>
      <c r="C2546" s="15" t="str">
        <f>"20190118507"</f>
        <v>20190118507</v>
      </c>
      <c r="D2546" s="17" t="s">
        <v>12</v>
      </c>
    </row>
    <row r="2547" spans="1:4" ht="21.75" customHeight="1">
      <c r="A2547" s="15" t="s">
        <v>66</v>
      </c>
      <c r="B2547" s="16" t="s">
        <v>68</v>
      </c>
      <c r="C2547" s="15" t="str">
        <f>"20190118508"</f>
        <v>20190118508</v>
      </c>
      <c r="D2547" s="17">
        <v>51</v>
      </c>
    </row>
    <row r="2548" spans="1:4" ht="21.75" customHeight="1">
      <c r="A2548" s="15" t="s">
        <v>66</v>
      </c>
      <c r="B2548" s="16" t="s">
        <v>68</v>
      </c>
      <c r="C2548" s="15" t="str">
        <f>"20190118509"</f>
        <v>20190118509</v>
      </c>
      <c r="D2548" s="17">
        <v>58.5</v>
      </c>
    </row>
    <row r="2549" spans="1:4" ht="21.75" customHeight="1">
      <c r="A2549" s="15" t="s">
        <v>66</v>
      </c>
      <c r="B2549" s="16" t="s">
        <v>68</v>
      </c>
      <c r="C2549" s="15" t="str">
        <f>"20190118510"</f>
        <v>20190118510</v>
      </c>
      <c r="D2549" s="17">
        <v>61</v>
      </c>
    </row>
    <row r="2550" spans="1:4" ht="21.75" customHeight="1">
      <c r="A2550" s="15" t="s">
        <v>66</v>
      </c>
      <c r="B2550" s="16" t="s">
        <v>68</v>
      </c>
      <c r="C2550" s="15" t="str">
        <f>"20190118511"</f>
        <v>20190118511</v>
      </c>
      <c r="D2550" s="17" t="s">
        <v>12</v>
      </c>
    </row>
    <row r="2551" spans="1:4" ht="21.75" customHeight="1">
      <c r="A2551" s="15" t="s">
        <v>66</v>
      </c>
      <c r="B2551" s="16" t="s">
        <v>68</v>
      </c>
      <c r="C2551" s="15" t="str">
        <f>"20190118512"</f>
        <v>20190118512</v>
      </c>
      <c r="D2551" s="17">
        <v>58.5</v>
      </c>
    </row>
    <row r="2552" spans="1:4" ht="21.75" customHeight="1">
      <c r="A2552" s="15" t="s">
        <v>66</v>
      </c>
      <c r="B2552" s="16" t="s">
        <v>68</v>
      </c>
      <c r="C2552" s="15" t="str">
        <f>"20190118513"</f>
        <v>20190118513</v>
      </c>
      <c r="D2552" s="17">
        <v>58</v>
      </c>
    </row>
    <row r="2553" spans="1:4" ht="21.75" customHeight="1">
      <c r="A2553" s="15" t="s">
        <v>66</v>
      </c>
      <c r="B2553" s="16" t="s">
        <v>68</v>
      </c>
      <c r="C2553" s="15" t="str">
        <f>"20190118514"</f>
        <v>20190118514</v>
      </c>
      <c r="D2553" s="17" t="s">
        <v>12</v>
      </c>
    </row>
    <row r="2554" spans="1:4" ht="21.75" customHeight="1">
      <c r="A2554" s="15" t="s">
        <v>66</v>
      </c>
      <c r="B2554" s="16" t="s">
        <v>68</v>
      </c>
      <c r="C2554" s="15" t="str">
        <f>"20190118515"</f>
        <v>20190118515</v>
      </c>
      <c r="D2554" s="17">
        <v>51</v>
      </c>
    </row>
    <row r="2555" spans="1:4" ht="21.75" customHeight="1">
      <c r="A2555" s="15" t="s">
        <v>66</v>
      </c>
      <c r="B2555" s="16" t="s">
        <v>68</v>
      </c>
      <c r="C2555" s="15" t="str">
        <f>"20190118516"</f>
        <v>20190118516</v>
      </c>
      <c r="D2555" s="17" t="s">
        <v>12</v>
      </c>
    </row>
    <row r="2556" spans="1:4" ht="21.75" customHeight="1">
      <c r="A2556" s="15" t="s">
        <v>66</v>
      </c>
      <c r="B2556" s="16" t="s">
        <v>68</v>
      </c>
      <c r="C2556" s="15" t="str">
        <f>"20190118517"</f>
        <v>20190118517</v>
      </c>
      <c r="D2556" s="17">
        <v>54.5</v>
      </c>
    </row>
    <row r="2557" spans="1:4" ht="21.75" customHeight="1">
      <c r="A2557" s="15" t="s">
        <v>66</v>
      </c>
      <c r="B2557" s="16" t="s">
        <v>68</v>
      </c>
      <c r="C2557" s="15" t="str">
        <f>"20190118518"</f>
        <v>20190118518</v>
      </c>
      <c r="D2557" s="17">
        <v>55.5</v>
      </c>
    </row>
    <row r="2558" spans="1:4" ht="21.75" customHeight="1">
      <c r="A2558" s="15" t="s">
        <v>66</v>
      </c>
      <c r="B2558" s="16" t="s">
        <v>68</v>
      </c>
      <c r="C2558" s="15" t="str">
        <f>"20190118519"</f>
        <v>20190118519</v>
      </c>
      <c r="D2558" s="17">
        <v>58</v>
      </c>
    </row>
    <row r="2559" spans="1:4" ht="21.75" customHeight="1">
      <c r="A2559" s="15" t="s">
        <v>66</v>
      </c>
      <c r="B2559" s="16" t="s">
        <v>68</v>
      </c>
      <c r="C2559" s="15" t="str">
        <f>"20190118520"</f>
        <v>20190118520</v>
      </c>
      <c r="D2559" s="17" t="s">
        <v>12</v>
      </c>
    </row>
    <row r="2560" spans="1:4" ht="21.75" customHeight="1">
      <c r="A2560" s="15" t="s">
        <v>66</v>
      </c>
      <c r="B2560" s="16" t="s">
        <v>68</v>
      </c>
      <c r="C2560" s="15" t="str">
        <f>"20190118521"</f>
        <v>20190118521</v>
      </c>
      <c r="D2560" s="17">
        <v>61</v>
      </c>
    </row>
    <row r="2561" spans="1:4" ht="21.75" customHeight="1">
      <c r="A2561" s="15" t="s">
        <v>66</v>
      </c>
      <c r="B2561" s="16" t="s">
        <v>68</v>
      </c>
      <c r="C2561" s="15" t="str">
        <f>"20190118522"</f>
        <v>20190118522</v>
      </c>
      <c r="D2561" s="17">
        <v>54.5</v>
      </c>
    </row>
    <row r="2562" spans="1:4" ht="21.75" customHeight="1">
      <c r="A2562" s="15" t="s">
        <v>66</v>
      </c>
      <c r="B2562" s="16" t="s">
        <v>68</v>
      </c>
      <c r="C2562" s="15" t="str">
        <f>"20190118523"</f>
        <v>20190118523</v>
      </c>
      <c r="D2562" s="17">
        <v>62.5</v>
      </c>
    </row>
    <row r="2563" spans="1:4" ht="21.75" customHeight="1">
      <c r="A2563" s="15" t="s">
        <v>66</v>
      </c>
      <c r="B2563" s="16" t="s">
        <v>68</v>
      </c>
      <c r="C2563" s="15" t="str">
        <f>"20190118524"</f>
        <v>20190118524</v>
      </c>
      <c r="D2563" s="17">
        <v>61</v>
      </c>
    </row>
    <row r="2564" spans="1:4" ht="21.75" customHeight="1">
      <c r="A2564" s="15" t="s">
        <v>66</v>
      </c>
      <c r="B2564" s="16" t="s">
        <v>68</v>
      </c>
      <c r="C2564" s="15" t="str">
        <f>"20190118525"</f>
        <v>20190118525</v>
      </c>
      <c r="D2564" s="17" t="s">
        <v>12</v>
      </c>
    </row>
    <row r="2565" spans="1:4" ht="21.75" customHeight="1">
      <c r="A2565" s="15" t="s">
        <v>66</v>
      </c>
      <c r="B2565" s="16" t="s">
        <v>68</v>
      </c>
      <c r="C2565" s="15" t="str">
        <f>"20190118526"</f>
        <v>20190118526</v>
      </c>
      <c r="D2565" s="17">
        <v>55</v>
      </c>
    </row>
    <row r="2566" spans="1:4" ht="21.75" customHeight="1">
      <c r="A2566" s="15" t="s">
        <v>66</v>
      </c>
      <c r="B2566" s="16" t="s">
        <v>68</v>
      </c>
      <c r="C2566" s="15" t="str">
        <f>"20190118527"</f>
        <v>20190118527</v>
      </c>
      <c r="D2566" s="17" t="s">
        <v>12</v>
      </c>
    </row>
    <row r="2567" spans="1:4" ht="21.75" customHeight="1">
      <c r="A2567" s="15" t="s">
        <v>66</v>
      </c>
      <c r="B2567" s="16" t="s">
        <v>68</v>
      </c>
      <c r="C2567" s="15" t="str">
        <f>"20190118528"</f>
        <v>20190118528</v>
      </c>
      <c r="D2567" s="17">
        <v>65</v>
      </c>
    </row>
    <row r="2568" spans="1:4" ht="21.75" customHeight="1">
      <c r="A2568" s="15" t="s">
        <v>66</v>
      </c>
      <c r="B2568" s="16" t="s">
        <v>68</v>
      </c>
      <c r="C2568" s="15" t="str">
        <f>"20190118529"</f>
        <v>20190118529</v>
      </c>
      <c r="D2568" s="17">
        <v>50</v>
      </c>
    </row>
    <row r="2569" spans="1:4" ht="21.75" customHeight="1">
      <c r="A2569" s="15" t="s">
        <v>66</v>
      </c>
      <c r="B2569" s="16" t="s">
        <v>68</v>
      </c>
      <c r="C2569" s="15" t="str">
        <f>"20190118530"</f>
        <v>20190118530</v>
      </c>
      <c r="D2569" s="17" t="s">
        <v>12</v>
      </c>
    </row>
    <row r="2570" spans="1:4" ht="21.75" customHeight="1">
      <c r="A2570" s="15" t="s">
        <v>66</v>
      </c>
      <c r="B2570" s="16" t="s">
        <v>68</v>
      </c>
      <c r="C2570" s="15" t="str">
        <f>"20190118601"</f>
        <v>20190118601</v>
      </c>
      <c r="D2570" s="17" t="s">
        <v>12</v>
      </c>
    </row>
    <row r="2571" spans="1:4" ht="21.75" customHeight="1">
      <c r="A2571" s="15" t="s">
        <v>66</v>
      </c>
      <c r="B2571" s="16" t="s">
        <v>68</v>
      </c>
      <c r="C2571" s="15" t="str">
        <f>"20190118602"</f>
        <v>20190118602</v>
      </c>
      <c r="D2571" s="17">
        <v>54</v>
      </c>
    </row>
    <row r="2572" spans="1:5" ht="21.75" customHeight="1">
      <c r="A2572" s="20" t="s">
        <v>69</v>
      </c>
      <c r="B2572" s="21" t="s">
        <v>19</v>
      </c>
      <c r="C2572" s="15" t="str">
        <f>"20190119019"</f>
        <v>20190119019</v>
      </c>
      <c r="D2572" s="17">
        <v>60</v>
      </c>
      <c r="E2572" s="19"/>
    </row>
    <row r="2573" spans="1:5" ht="21.75" customHeight="1">
      <c r="A2573" s="20" t="s">
        <v>69</v>
      </c>
      <c r="B2573" s="21" t="s">
        <v>19</v>
      </c>
      <c r="C2573" s="15" t="str">
        <f>"20190119020"</f>
        <v>20190119020</v>
      </c>
      <c r="D2573" s="17">
        <v>50.5</v>
      </c>
      <c r="E2573" s="19"/>
    </row>
    <row r="2574" spans="1:5" ht="21.75" customHeight="1">
      <c r="A2574" s="20" t="s">
        <v>69</v>
      </c>
      <c r="B2574" s="21" t="s">
        <v>19</v>
      </c>
      <c r="C2574" s="15" t="str">
        <f>"20190119021"</f>
        <v>20190119021</v>
      </c>
      <c r="D2574" s="17" t="s">
        <v>12</v>
      </c>
      <c r="E2574" s="19"/>
    </row>
    <row r="2575" spans="1:4" ht="21.75" customHeight="1">
      <c r="A2575" s="20" t="s">
        <v>69</v>
      </c>
      <c r="B2575" s="21" t="s">
        <v>19</v>
      </c>
      <c r="C2575" s="15" t="str">
        <f>"20190119022"</f>
        <v>20190119022</v>
      </c>
      <c r="D2575" s="17">
        <v>52.5</v>
      </c>
    </row>
    <row r="2576" spans="1:4" ht="21.75" customHeight="1">
      <c r="A2576" s="20" t="s">
        <v>69</v>
      </c>
      <c r="B2576" s="21" t="s">
        <v>19</v>
      </c>
      <c r="C2576" s="15" t="str">
        <f>"20190119023"</f>
        <v>20190119023</v>
      </c>
      <c r="D2576" s="17">
        <v>68</v>
      </c>
    </row>
    <row r="2577" spans="1:4" ht="21.75" customHeight="1">
      <c r="A2577" s="20" t="s">
        <v>69</v>
      </c>
      <c r="B2577" s="21" t="s">
        <v>19</v>
      </c>
      <c r="C2577" s="15" t="str">
        <f>"20190119024"</f>
        <v>20190119024</v>
      </c>
      <c r="D2577" s="17">
        <v>60.5</v>
      </c>
    </row>
    <row r="2578" spans="1:4" ht="21.75" customHeight="1">
      <c r="A2578" s="20" t="s">
        <v>69</v>
      </c>
      <c r="B2578" s="21" t="s">
        <v>19</v>
      </c>
      <c r="C2578" s="15" t="str">
        <f>"20190119025"</f>
        <v>20190119025</v>
      </c>
      <c r="D2578" s="17" t="s">
        <v>12</v>
      </c>
    </row>
    <row r="2579" spans="1:4" ht="21.75" customHeight="1">
      <c r="A2579" s="20" t="s">
        <v>69</v>
      </c>
      <c r="B2579" s="21" t="s">
        <v>19</v>
      </c>
      <c r="C2579" s="15" t="str">
        <f>"20190119026"</f>
        <v>20190119026</v>
      </c>
      <c r="D2579" s="17">
        <v>66</v>
      </c>
    </row>
    <row r="2580" spans="1:4" ht="21.75" customHeight="1">
      <c r="A2580" s="20" t="s">
        <v>69</v>
      </c>
      <c r="B2580" s="21" t="s">
        <v>19</v>
      </c>
      <c r="C2580" s="15" t="str">
        <f>"20190119027"</f>
        <v>20190119027</v>
      </c>
      <c r="D2580" s="17">
        <v>64.5</v>
      </c>
    </row>
    <row r="2581" spans="1:4" ht="21.75" customHeight="1">
      <c r="A2581" s="20" t="s">
        <v>69</v>
      </c>
      <c r="B2581" s="21" t="s">
        <v>19</v>
      </c>
      <c r="C2581" s="15" t="str">
        <f>"20190119028"</f>
        <v>20190119028</v>
      </c>
      <c r="D2581" s="17">
        <v>58.5</v>
      </c>
    </row>
    <row r="2582" spans="1:4" ht="21.75" customHeight="1">
      <c r="A2582" s="20" t="s">
        <v>69</v>
      </c>
      <c r="B2582" s="21" t="s">
        <v>19</v>
      </c>
      <c r="C2582" s="15" t="str">
        <f>"20190119029"</f>
        <v>20190119029</v>
      </c>
      <c r="D2582" s="17">
        <v>67</v>
      </c>
    </row>
    <row r="2583" spans="1:5" ht="21.75" customHeight="1">
      <c r="A2583" s="20" t="s">
        <v>69</v>
      </c>
      <c r="B2583" s="21" t="s">
        <v>19</v>
      </c>
      <c r="C2583" s="15" t="str">
        <f>"20190119030"</f>
        <v>20190119030</v>
      </c>
      <c r="D2583" s="17">
        <v>69.5</v>
      </c>
      <c r="E2583" s="18" t="s">
        <v>9</v>
      </c>
    </row>
    <row r="2584" spans="1:4" ht="21.75" customHeight="1">
      <c r="A2584" s="20" t="s">
        <v>69</v>
      </c>
      <c r="B2584" s="21" t="s">
        <v>19</v>
      </c>
      <c r="C2584" s="15" t="str">
        <f>"20190119101"</f>
        <v>20190119101</v>
      </c>
      <c r="D2584" s="17">
        <v>64</v>
      </c>
    </row>
    <row r="2585" spans="1:4" ht="21.75" customHeight="1">
      <c r="A2585" s="20" t="s">
        <v>69</v>
      </c>
      <c r="B2585" s="21" t="s">
        <v>19</v>
      </c>
      <c r="C2585" s="15" t="str">
        <f>"20190119102"</f>
        <v>20190119102</v>
      </c>
      <c r="D2585" s="17">
        <v>66</v>
      </c>
    </row>
    <row r="2586" spans="1:4" ht="21.75" customHeight="1">
      <c r="A2586" s="20" t="s">
        <v>69</v>
      </c>
      <c r="B2586" s="21" t="s">
        <v>19</v>
      </c>
      <c r="C2586" s="15" t="str">
        <f>"20190119103"</f>
        <v>20190119103</v>
      </c>
      <c r="D2586" s="17">
        <v>58.5</v>
      </c>
    </row>
    <row r="2587" spans="1:5" ht="21.75" customHeight="1">
      <c r="A2587" s="20" t="s">
        <v>69</v>
      </c>
      <c r="B2587" s="21" t="s">
        <v>19</v>
      </c>
      <c r="C2587" s="15" t="str">
        <f>"20190119104"</f>
        <v>20190119104</v>
      </c>
      <c r="D2587" s="17">
        <v>69.5</v>
      </c>
      <c r="E2587" s="18" t="s">
        <v>9</v>
      </c>
    </row>
    <row r="2588" spans="1:4" ht="21.75" customHeight="1">
      <c r="A2588" s="20" t="s">
        <v>69</v>
      </c>
      <c r="B2588" s="21" t="s">
        <v>19</v>
      </c>
      <c r="C2588" s="15" t="str">
        <f>"20190119105"</f>
        <v>20190119105</v>
      </c>
      <c r="D2588" s="17" t="s">
        <v>12</v>
      </c>
    </row>
    <row r="2589" spans="1:4" ht="21.75" customHeight="1">
      <c r="A2589" s="20" t="s">
        <v>69</v>
      </c>
      <c r="B2589" s="21" t="s">
        <v>19</v>
      </c>
      <c r="C2589" s="15" t="str">
        <f>"20190119106"</f>
        <v>20190119106</v>
      </c>
      <c r="D2589" s="17" t="s">
        <v>12</v>
      </c>
    </row>
    <row r="2590" spans="1:4" ht="21.75" customHeight="1">
      <c r="A2590" s="20" t="s">
        <v>69</v>
      </c>
      <c r="B2590" s="21" t="s">
        <v>19</v>
      </c>
      <c r="C2590" s="15" t="str">
        <f>"20190119107"</f>
        <v>20190119107</v>
      </c>
      <c r="D2590" s="17">
        <v>52.5</v>
      </c>
    </row>
    <row r="2591" spans="1:4" ht="21.75" customHeight="1">
      <c r="A2591" s="20" t="s">
        <v>69</v>
      </c>
      <c r="B2591" s="21" t="s">
        <v>19</v>
      </c>
      <c r="C2591" s="15" t="str">
        <f>"20190119108"</f>
        <v>20190119108</v>
      </c>
      <c r="D2591" s="17">
        <v>61</v>
      </c>
    </row>
    <row r="2592" spans="1:5" ht="21.75" customHeight="1">
      <c r="A2592" s="20" t="s">
        <v>69</v>
      </c>
      <c r="B2592" s="21" t="s">
        <v>19</v>
      </c>
      <c r="C2592" s="15" t="str">
        <f>"20190119109"</f>
        <v>20190119109</v>
      </c>
      <c r="D2592" s="17">
        <v>69.5</v>
      </c>
      <c r="E2592" s="18" t="s">
        <v>9</v>
      </c>
    </row>
    <row r="2593" spans="1:4" ht="21.75" customHeight="1">
      <c r="A2593" s="20" t="s">
        <v>69</v>
      </c>
      <c r="B2593" s="21" t="s">
        <v>19</v>
      </c>
      <c r="C2593" s="15" t="str">
        <f>"20190119110"</f>
        <v>20190119110</v>
      </c>
      <c r="D2593" s="17" t="s">
        <v>12</v>
      </c>
    </row>
    <row r="2594" spans="1:4" ht="21.75" customHeight="1">
      <c r="A2594" s="20" t="s">
        <v>69</v>
      </c>
      <c r="B2594" s="21" t="s">
        <v>19</v>
      </c>
      <c r="C2594" s="15" t="str">
        <f>"20190119111"</f>
        <v>20190119111</v>
      </c>
      <c r="D2594" s="17">
        <v>55.5</v>
      </c>
    </row>
    <row r="2595" spans="1:4" ht="21.75" customHeight="1">
      <c r="A2595" s="20" t="s">
        <v>69</v>
      </c>
      <c r="B2595" s="21" t="s">
        <v>19</v>
      </c>
      <c r="C2595" s="15" t="str">
        <f>"20190119112"</f>
        <v>20190119112</v>
      </c>
      <c r="D2595" s="17">
        <v>59</v>
      </c>
    </row>
    <row r="2596" spans="1:5" ht="21.75" customHeight="1">
      <c r="A2596" s="20" t="s">
        <v>69</v>
      </c>
      <c r="B2596" s="21" t="s">
        <v>19</v>
      </c>
      <c r="C2596" s="15" t="str">
        <f>"20190119113"</f>
        <v>20190119113</v>
      </c>
      <c r="D2596" s="17">
        <v>63</v>
      </c>
      <c r="E2596" s="19"/>
    </row>
    <row r="2597" spans="1:5" ht="21.75" customHeight="1">
      <c r="A2597" s="20" t="s">
        <v>69</v>
      </c>
      <c r="B2597" s="21" t="s">
        <v>19</v>
      </c>
      <c r="C2597" s="15" t="str">
        <f>"20190119114"</f>
        <v>20190119114</v>
      </c>
      <c r="D2597" s="17">
        <v>59</v>
      </c>
      <c r="E2597" s="19"/>
    </row>
    <row r="2598" spans="1:5" ht="21.75" customHeight="1">
      <c r="A2598" s="20" t="s">
        <v>69</v>
      </c>
      <c r="B2598" s="21" t="s">
        <v>19</v>
      </c>
      <c r="C2598" s="15" t="str">
        <f>"20190119115"</f>
        <v>20190119115</v>
      </c>
      <c r="D2598" s="17">
        <v>69</v>
      </c>
      <c r="E2598" s="19"/>
    </row>
    <row r="2599" spans="1:4" ht="21.75" customHeight="1">
      <c r="A2599" s="20" t="s">
        <v>69</v>
      </c>
      <c r="B2599" s="21" t="s">
        <v>19</v>
      </c>
      <c r="C2599" s="15" t="str">
        <f>"20190119116"</f>
        <v>20190119116</v>
      </c>
      <c r="D2599" s="17">
        <v>55</v>
      </c>
    </row>
    <row r="2600" spans="1:5" ht="21.75" customHeight="1">
      <c r="A2600" s="20" t="s">
        <v>69</v>
      </c>
      <c r="B2600" s="21" t="s">
        <v>19</v>
      </c>
      <c r="C2600" s="15" t="str">
        <f>"20190119117"</f>
        <v>20190119117</v>
      </c>
      <c r="D2600" s="17">
        <v>70</v>
      </c>
      <c r="E2600" s="18" t="s">
        <v>9</v>
      </c>
    </row>
    <row r="2601" spans="1:4" ht="21.75" customHeight="1">
      <c r="A2601" s="20" t="s">
        <v>69</v>
      </c>
      <c r="B2601" s="21" t="s">
        <v>19</v>
      </c>
      <c r="C2601" s="15" t="str">
        <f>"20190119118"</f>
        <v>20190119118</v>
      </c>
      <c r="D2601" s="17">
        <v>54.5</v>
      </c>
    </row>
    <row r="2602" spans="1:4" ht="21.75" customHeight="1">
      <c r="A2602" s="20" t="s">
        <v>69</v>
      </c>
      <c r="B2602" s="21" t="s">
        <v>19</v>
      </c>
      <c r="C2602" s="15" t="str">
        <f>"20190119119"</f>
        <v>20190119119</v>
      </c>
      <c r="D2602" s="17">
        <v>60</v>
      </c>
    </row>
    <row r="2603" spans="1:4" ht="21.75" customHeight="1">
      <c r="A2603" s="20" t="s">
        <v>69</v>
      </c>
      <c r="B2603" s="21" t="s">
        <v>19</v>
      </c>
      <c r="C2603" s="15" t="str">
        <f>"20190119120"</f>
        <v>20190119120</v>
      </c>
      <c r="D2603" s="17">
        <v>60</v>
      </c>
    </row>
    <row r="2604" spans="1:4" ht="21.75" customHeight="1">
      <c r="A2604" s="20" t="s">
        <v>69</v>
      </c>
      <c r="B2604" s="21" t="s">
        <v>19</v>
      </c>
      <c r="C2604" s="15" t="str">
        <f>"20190119121"</f>
        <v>20190119121</v>
      </c>
      <c r="D2604" s="17" t="s">
        <v>12</v>
      </c>
    </row>
    <row r="2605" spans="1:4" ht="21.75" customHeight="1">
      <c r="A2605" s="20" t="s">
        <v>69</v>
      </c>
      <c r="B2605" s="21" t="s">
        <v>19</v>
      </c>
      <c r="C2605" s="15" t="str">
        <f>"20190119122"</f>
        <v>20190119122</v>
      </c>
      <c r="D2605" s="17">
        <v>64</v>
      </c>
    </row>
    <row r="2606" spans="1:5" ht="21.75" customHeight="1">
      <c r="A2606" s="15" t="s">
        <v>69</v>
      </c>
      <c r="B2606" s="16" t="s">
        <v>70</v>
      </c>
      <c r="C2606" s="15" t="str">
        <f>"20190119123"</f>
        <v>20190119123</v>
      </c>
      <c r="D2606" s="17">
        <v>58.5</v>
      </c>
      <c r="E2606" s="18" t="s">
        <v>9</v>
      </c>
    </row>
    <row r="2607" spans="1:4" ht="21.75" customHeight="1">
      <c r="A2607" s="15" t="s">
        <v>69</v>
      </c>
      <c r="B2607" s="16" t="s">
        <v>70</v>
      </c>
      <c r="C2607" s="15" t="str">
        <f>"20190119124"</f>
        <v>20190119124</v>
      </c>
      <c r="D2607" s="17" t="s">
        <v>12</v>
      </c>
    </row>
    <row r="2608" spans="1:4" ht="21.75" customHeight="1">
      <c r="A2608" s="15" t="s">
        <v>69</v>
      </c>
      <c r="B2608" s="16" t="s">
        <v>70</v>
      </c>
      <c r="C2608" s="15" t="str">
        <f>"20190119125"</f>
        <v>20190119125</v>
      </c>
      <c r="D2608" s="17" t="s">
        <v>12</v>
      </c>
    </row>
    <row r="2609" spans="1:4" ht="21.75" customHeight="1">
      <c r="A2609" s="20" t="s">
        <v>71</v>
      </c>
      <c r="B2609" s="21" t="s">
        <v>19</v>
      </c>
      <c r="C2609" s="15" t="str">
        <f>"20190119126"</f>
        <v>20190119126</v>
      </c>
      <c r="D2609" s="17">
        <v>49</v>
      </c>
    </row>
    <row r="2610" spans="1:4" ht="21.75" customHeight="1">
      <c r="A2610" s="20" t="s">
        <v>71</v>
      </c>
      <c r="B2610" s="21" t="s">
        <v>19</v>
      </c>
      <c r="C2610" s="15" t="str">
        <f>"20190119127"</f>
        <v>20190119127</v>
      </c>
      <c r="D2610" s="17">
        <v>65</v>
      </c>
    </row>
    <row r="2611" spans="1:4" ht="21.75" customHeight="1">
      <c r="A2611" s="20" t="s">
        <v>71</v>
      </c>
      <c r="B2611" s="21" t="s">
        <v>19</v>
      </c>
      <c r="C2611" s="15" t="str">
        <f>"20190119128"</f>
        <v>20190119128</v>
      </c>
      <c r="D2611" s="17">
        <v>58</v>
      </c>
    </row>
    <row r="2612" spans="1:4" ht="21.75" customHeight="1">
      <c r="A2612" s="20" t="s">
        <v>71</v>
      </c>
      <c r="B2612" s="21" t="s">
        <v>19</v>
      </c>
      <c r="C2612" s="15" t="str">
        <f>"20190119129"</f>
        <v>20190119129</v>
      </c>
      <c r="D2612" s="17">
        <v>53.5</v>
      </c>
    </row>
    <row r="2613" spans="1:4" ht="21.75" customHeight="1">
      <c r="A2613" s="20" t="s">
        <v>71</v>
      </c>
      <c r="B2613" s="21" t="s">
        <v>19</v>
      </c>
      <c r="C2613" s="15" t="str">
        <f>"20190119130"</f>
        <v>20190119130</v>
      </c>
      <c r="D2613" s="17" t="s">
        <v>12</v>
      </c>
    </row>
    <row r="2614" spans="1:4" ht="21.75" customHeight="1">
      <c r="A2614" s="20" t="s">
        <v>71</v>
      </c>
      <c r="B2614" s="21" t="s">
        <v>19</v>
      </c>
      <c r="C2614" s="15" t="str">
        <f>"20190119201"</f>
        <v>20190119201</v>
      </c>
      <c r="D2614" s="17">
        <v>58</v>
      </c>
    </row>
    <row r="2615" spans="1:4" ht="21.75" customHeight="1">
      <c r="A2615" s="20" t="s">
        <v>71</v>
      </c>
      <c r="B2615" s="21" t="s">
        <v>19</v>
      </c>
      <c r="C2615" s="15" t="str">
        <f>"20190119202"</f>
        <v>20190119202</v>
      </c>
      <c r="D2615" s="17">
        <v>57.5</v>
      </c>
    </row>
    <row r="2616" spans="1:4" ht="21.75" customHeight="1">
      <c r="A2616" s="20" t="s">
        <v>71</v>
      </c>
      <c r="B2616" s="21" t="s">
        <v>19</v>
      </c>
      <c r="C2616" s="15" t="str">
        <f>"20190119203"</f>
        <v>20190119203</v>
      </c>
      <c r="D2616" s="17">
        <v>59.5</v>
      </c>
    </row>
    <row r="2617" spans="1:4" ht="21.75" customHeight="1">
      <c r="A2617" s="20" t="s">
        <v>71</v>
      </c>
      <c r="B2617" s="21" t="s">
        <v>19</v>
      </c>
      <c r="C2617" s="15" t="str">
        <f>"20190119204"</f>
        <v>20190119204</v>
      </c>
      <c r="D2617" s="17">
        <v>56.5</v>
      </c>
    </row>
    <row r="2618" spans="1:4" ht="21.75" customHeight="1">
      <c r="A2618" s="20" t="s">
        <v>71</v>
      </c>
      <c r="B2618" s="21" t="s">
        <v>19</v>
      </c>
      <c r="C2618" s="15" t="str">
        <f>"20190119205"</f>
        <v>20190119205</v>
      </c>
      <c r="D2618" s="17">
        <v>63.5</v>
      </c>
    </row>
    <row r="2619" spans="1:4" ht="21.75" customHeight="1">
      <c r="A2619" s="20" t="s">
        <v>71</v>
      </c>
      <c r="B2619" s="21" t="s">
        <v>19</v>
      </c>
      <c r="C2619" s="15" t="str">
        <f>"20190119206"</f>
        <v>20190119206</v>
      </c>
      <c r="D2619" s="17">
        <v>66</v>
      </c>
    </row>
    <row r="2620" spans="1:5" ht="21.75" customHeight="1">
      <c r="A2620" s="20" t="s">
        <v>71</v>
      </c>
      <c r="B2620" s="21" t="s">
        <v>19</v>
      </c>
      <c r="C2620" s="15" t="str">
        <f>"20190119207"</f>
        <v>20190119207</v>
      </c>
      <c r="D2620" s="17">
        <v>68</v>
      </c>
      <c r="E2620" s="18" t="s">
        <v>9</v>
      </c>
    </row>
    <row r="2621" spans="1:4" ht="21.75" customHeight="1">
      <c r="A2621" s="20" t="s">
        <v>71</v>
      </c>
      <c r="B2621" s="21" t="s">
        <v>19</v>
      </c>
      <c r="C2621" s="15" t="str">
        <f>"20190119208"</f>
        <v>20190119208</v>
      </c>
      <c r="D2621" s="17">
        <v>61</v>
      </c>
    </row>
    <row r="2622" spans="1:4" ht="21.75" customHeight="1">
      <c r="A2622" s="20" t="s">
        <v>71</v>
      </c>
      <c r="B2622" s="21" t="s">
        <v>19</v>
      </c>
      <c r="C2622" s="15" t="str">
        <f>"20190119209"</f>
        <v>20190119209</v>
      </c>
      <c r="D2622" s="17">
        <v>64</v>
      </c>
    </row>
    <row r="2623" spans="1:4" ht="21.75" customHeight="1">
      <c r="A2623" s="20" t="s">
        <v>71</v>
      </c>
      <c r="B2623" s="21" t="s">
        <v>19</v>
      </c>
      <c r="C2623" s="15" t="str">
        <f>"20190119210"</f>
        <v>20190119210</v>
      </c>
      <c r="D2623" s="17">
        <v>53.5</v>
      </c>
    </row>
    <row r="2624" spans="1:4" ht="21.75" customHeight="1">
      <c r="A2624" s="20" t="s">
        <v>71</v>
      </c>
      <c r="B2624" s="21" t="s">
        <v>19</v>
      </c>
      <c r="C2624" s="15" t="str">
        <f>"20190119211"</f>
        <v>20190119211</v>
      </c>
      <c r="D2624" s="17" t="s">
        <v>12</v>
      </c>
    </row>
    <row r="2625" spans="1:4" ht="21.75" customHeight="1">
      <c r="A2625" s="20" t="s">
        <v>71</v>
      </c>
      <c r="B2625" s="21" t="s">
        <v>19</v>
      </c>
      <c r="C2625" s="15" t="str">
        <f>"20190119212"</f>
        <v>20190119212</v>
      </c>
      <c r="D2625" s="17">
        <v>61</v>
      </c>
    </row>
    <row r="2626" spans="1:5" ht="21.75" customHeight="1">
      <c r="A2626" s="20" t="s">
        <v>71</v>
      </c>
      <c r="B2626" s="21" t="s">
        <v>19</v>
      </c>
      <c r="C2626" s="15" t="str">
        <f>"20190119213"</f>
        <v>20190119213</v>
      </c>
      <c r="D2626" s="17">
        <v>69.5</v>
      </c>
      <c r="E2626" s="18" t="s">
        <v>9</v>
      </c>
    </row>
    <row r="2627" spans="1:4" ht="21.75" customHeight="1">
      <c r="A2627" s="20" t="s">
        <v>71</v>
      </c>
      <c r="B2627" s="21" t="s">
        <v>19</v>
      </c>
      <c r="C2627" s="15" t="str">
        <f>"20190119214"</f>
        <v>20190119214</v>
      </c>
      <c r="D2627" s="17">
        <v>66.5</v>
      </c>
    </row>
    <row r="2628" spans="1:4" ht="21.75" customHeight="1">
      <c r="A2628" s="20" t="s">
        <v>71</v>
      </c>
      <c r="B2628" s="21" t="s">
        <v>19</v>
      </c>
      <c r="C2628" s="15" t="str">
        <f>"20190119215"</f>
        <v>20190119215</v>
      </c>
      <c r="D2628" s="17">
        <v>53.5</v>
      </c>
    </row>
    <row r="2629" spans="1:4" ht="21.75" customHeight="1">
      <c r="A2629" s="20" t="s">
        <v>71</v>
      </c>
      <c r="B2629" s="21" t="s">
        <v>19</v>
      </c>
      <c r="C2629" s="15" t="str">
        <f>"20190119216"</f>
        <v>20190119216</v>
      </c>
      <c r="D2629" s="17" t="s">
        <v>12</v>
      </c>
    </row>
    <row r="2630" spans="1:4" ht="21.75" customHeight="1">
      <c r="A2630" s="20" t="s">
        <v>71</v>
      </c>
      <c r="B2630" s="21" t="s">
        <v>19</v>
      </c>
      <c r="C2630" s="15" t="str">
        <f>"20190119217"</f>
        <v>20190119217</v>
      </c>
      <c r="D2630" s="17">
        <v>62</v>
      </c>
    </row>
    <row r="2631" spans="1:4" ht="21.75" customHeight="1">
      <c r="A2631" s="20" t="s">
        <v>71</v>
      </c>
      <c r="B2631" s="21" t="s">
        <v>19</v>
      </c>
      <c r="C2631" s="15" t="str">
        <f>"20190119218"</f>
        <v>20190119218</v>
      </c>
      <c r="D2631" s="17">
        <v>54</v>
      </c>
    </row>
    <row r="2632" spans="1:4" ht="21.75" customHeight="1">
      <c r="A2632" s="20" t="s">
        <v>71</v>
      </c>
      <c r="B2632" s="21" t="s">
        <v>19</v>
      </c>
      <c r="C2632" s="15" t="str">
        <f>"20190119219"</f>
        <v>20190119219</v>
      </c>
      <c r="D2632" s="17">
        <v>57</v>
      </c>
    </row>
    <row r="2633" spans="1:4" ht="21.75" customHeight="1">
      <c r="A2633" s="20" t="s">
        <v>71</v>
      </c>
      <c r="B2633" s="21" t="s">
        <v>19</v>
      </c>
      <c r="C2633" s="15" t="str">
        <f>"20190119220"</f>
        <v>20190119220</v>
      </c>
      <c r="D2633" s="17">
        <v>54.5</v>
      </c>
    </row>
    <row r="2634" spans="1:4" ht="21.75" customHeight="1">
      <c r="A2634" s="20" t="s">
        <v>71</v>
      </c>
      <c r="B2634" s="21" t="s">
        <v>19</v>
      </c>
      <c r="C2634" s="15" t="str">
        <f>"20190119221"</f>
        <v>20190119221</v>
      </c>
      <c r="D2634" s="17" t="s">
        <v>12</v>
      </c>
    </row>
    <row r="2635" spans="1:4" ht="21.75" customHeight="1">
      <c r="A2635" s="20" t="s">
        <v>71</v>
      </c>
      <c r="B2635" s="21" t="s">
        <v>19</v>
      </c>
      <c r="C2635" s="15" t="str">
        <f>"20190119222"</f>
        <v>20190119222</v>
      </c>
      <c r="D2635" s="17">
        <v>48</v>
      </c>
    </row>
    <row r="2636" spans="1:4" ht="21.75" customHeight="1">
      <c r="A2636" s="20" t="s">
        <v>71</v>
      </c>
      <c r="B2636" s="21" t="s">
        <v>19</v>
      </c>
      <c r="C2636" s="15" t="str">
        <f>"20190119223"</f>
        <v>20190119223</v>
      </c>
      <c r="D2636" s="17">
        <v>62.5</v>
      </c>
    </row>
    <row r="2637" spans="1:4" ht="21.75" customHeight="1">
      <c r="A2637" s="20" t="s">
        <v>71</v>
      </c>
      <c r="B2637" s="21" t="s">
        <v>19</v>
      </c>
      <c r="C2637" s="15" t="str">
        <f>"20190119224"</f>
        <v>20190119224</v>
      </c>
      <c r="D2637" s="17">
        <v>51</v>
      </c>
    </row>
    <row r="2638" spans="1:4" ht="21.75" customHeight="1">
      <c r="A2638" s="20" t="s">
        <v>71</v>
      </c>
      <c r="B2638" s="21" t="s">
        <v>19</v>
      </c>
      <c r="C2638" s="15" t="str">
        <f>"20190119225"</f>
        <v>20190119225</v>
      </c>
      <c r="D2638" s="17" t="s">
        <v>12</v>
      </c>
    </row>
    <row r="2639" spans="1:5" ht="21.75" customHeight="1">
      <c r="A2639" s="20" t="s">
        <v>71</v>
      </c>
      <c r="B2639" s="21" t="s">
        <v>19</v>
      </c>
      <c r="C2639" s="15" t="str">
        <f>"20190119226"</f>
        <v>20190119226</v>
      </c>
      <c r="D2639" s="17">
        <v>76.5</v>
      </c>
      <c r="E2639" s="18" t="s">
        <v>9</v>
      </c>
    </row>
    <row r="2640" spans="1:4" ht="21.75" customHeight="1">
      <c r="A2640" s="20" t="s">
        <v>71</v>
      </c>
      <c r="B2640" s="21" t="s">
        <v>19</v>
      </c>
      <c r="C2640" s="15" t="str">
        <f>"20190119227"</f>
        <v>20190119227</v>
      </c>
      <c r="D2640" s="17">
        <v>63.5</v>
      </c>
    </row>
    <row r="2641" spans="1:4" ht="21.75" customHeight="1">
      <c r="A2641" s="20" t="s">
        <v>71</v>
      </c>
      <c r="B2641" s="21" t="s">
        <v>19</v>
      </c>
      <c r="C2641" s="15" t="str">
        <f>"20190119228"</f>
        <v>20190119228</v>
      </c>
      <c r="D2641" s="17" t="s">
        <v>12</v>
      </c>
    </row>
    <row r="2642" spans="1:4" ht="21.75" customHeight="1">
      <c r="A2642" s="20" t="s">
        <v>71</v>
      </c>
      <c r="B2642" s="21" t="s">
        <v>19</v>
      </c>
      <c r="C2642" s="15" t="str">
        <f>"20190119229"</f>
        <v>20190119229</v>
      </c>
      <c r="D2642" s="17" t="s">
        <v>12</v>
      </c>
    </row>
    <row r="2643" spans="1:4" ht="21.75" customHeight="1">
      <c r="A2643" s="15" t="s">
        <v>72</v>
      </c>
      <c r="B2643" s="16" t="s">
        <v>16</v>
      </c>
      <c r="C2643" s="15" t="str">
        <f>"20190119230"</f>
        <v>20190119230</v>
      </c>
      <c r="D2643" s="17">
        <v>60</v>
      </c>
    </row>
    <row r="2644" spans="1:4" ht="21.75" customHeight="1">
      <c r="A2644" s="15" t="s">
        <v>72</v>
      </c>
      <c r="B2644" s="16" t="s">
        <v>16</v>
      </c>
      <c r="C2644" s="15" t="str">
        <f>"20190119301"</f>
        <v>20190119301</v>
      </c>
      <c r="D2644" s="17">
        <v>63.5</v>
      </c>
    </row>
    <row r="2645" spans="1:4" ht="21.75" customHeight="1">
      <c r="A2645" s="15" t="s">
        <v>72</v>
      </c>
      <c r="B2645" s="16" t="s">
        <v>16</v>
      </c>
      <c r="C2645" s="15" t="str">
        <f>"20190119302"</f>
        <v>20190119302</v>
      </c>
      <c r="D2645" s="17">
        <v>60</v>
      </c>
    </row>
    <row r="2646" spans="1:4" ht="21.75" customHeight="1">
      <c r="A2646" s="15" t="s">
        <v>72</v>
      </c>
      <c r="B2646" s="16" t="s">
        <v>16</v>
      </c>
      <c r="C2646" s="15" t="str">
        <f>"20190119303"</f>
        <v>20190119303</v>
      </c>
      <c r="D2646" s="17">
        <v>62</v>
      </c>
    </row>
    <row r="2647" spans="1:4" ht="21.75" customHeight="1">
      <c r="A2647" s="15" t="s">
        <v>72</v>
      </c>
      <c r="B2647" s="16" t="s">
        <v>16</v>
      </c>
      <c r="C2647" s="15" t="str">
        <f>"20190119304"</f>
        <v>20190119304</v>
      </c>
      <c r="D2647" s="17">
        <v>65</v>
      </c>
    </row>
    <row r="2648" spans="1:5" ht="21.75" customHeight="1">
      <c r="A2648" s="15" t="s">
        <v>72</v>
      </c>
      <c r="B2648" s="16" t="s">
        <v>16</v>
      </c>
      <c r="C2648" s="15" t="str">
        <f>"20190119305"</f>
        <v>20190119305</v>
      </c>
      <c r="D2648" s="17">
        <v>73</v>
      </c>
      <c r="E2648" s="18" t="s">
        <v>9</v>
      </c>
    </row>
    <row r="2649" spans="1:4" ht="21.75" customHeight="1">
      <c r="A2649" s="15" t="s">
        <v>72</v>
      </c>
      <c r="B2649" s="16" t="s">
        <v>16</v>
      </c>
      <c r="C2649" s="15" t="str">
        <f>"20190119306"</f>
        <v>20190119306</v>
      </c>
      <c r="D2649" s="17" t="s">
        <v>12</v>
      </c>
    </row>
    <row r="2650" spans="1:5" ht="21.75" customHeight="1">
      <c r="A2650" s="15" t="s">
        <v>72</v>
      </c>
      <c r="B2650" s="16" t="s">
        <v>16</v>
      </c>
      <c r="C2650" s="15" t="str">
        <f>"20190119307"</f>
        <v>20190119307</v>
      </c>
      <c r="D2650" s="17">
        <v>65</v>
      </c>
      <c r="E2650" s="19"/>
    </row>
    <row r="2651" spans="1:5" ht="21.75" customHeight="1">
      <c r="A2651" s="15" t="s">
        <v>72</v>
      </c>
      <c r="B2651" s="16" t="s">
        <v>16</v>
      </c>
      <c r="C2651" s="15" t="str">
        <f>"20190119308"</f>
        <v>20190119308</v>
      </c>
      <c r="D2651" s="17">
        <v>63</v>
      </c>
      <c r="E2651" s="19"/>
    </row>
    <row r="2652" spans="1:5" ht="21.75" customHeight="1">
      <c r="A2652" s="15" t="s">
        <v>72</v>
      </c>
      <c r="B2652" s="16" t="s">
        <v>16</v>
      </c>
      <c r="C2652" s="15" t="str">
        <f>"20190119309"</f>
        <v>20190119309</v>
      </c>
      <c r="D2652" s="17">
        <v>60.5</v>
      </c>
      <c r="E2652" s="19"/>
    </row>
    <row r="2653" spans="1:4" ht="21.75" customHeight="1">
      <c r="A2653" s="15" t="s">
        <v>72</v>
      </c>
      <c r="B2653" s="16" t="s">
        <v>16</v>
      </c>
      <c r="C2653" s="15" t="str">
        <f>"20190119310"</f>
        <v>20190119310</v>
      </c>
      <c r="D2653" s="17">
        <v>66</v>
      </c>
    </row>
    <row r="2654" spans="1:4" ht="21.75" customHeight="1">
      <c r="A2654" s="15" t="s">
        <v>72</v>
      </c>
      <c r="B2654" s="16" t="s">
        <v>16</v>
      </c>
      <c r="C2654" s="15" t="str">
        <f>"20190119311"</f>
        <v>20190119311</v>
      </c>
      <c r="D2654" s="17">
        <v>61.5</v>
      </c>
    </row>
    <row r="2655" spans="1:4" ht="21.75" customHeight="1">
      <c r="A2655" s="15" t="s">
        <v>72</v>
      </c>
      <c r="B2655" s="16" t="s">
        <v>16</v>
      </c>
      <c r="C2655" s="15" t="str">
        <f>"20190119312"</f>
        <v>20190119312</v>
      </c>
      <c r="D2655" s="17">
        <v>59</v>
      </c>
    </row>
    <row r="2656" spans="1:4" ht="21.75" customHeight="1">
      <c r="A2656" s="15" t="s">
        <v>72</v>
      </c>
      <c r="B2656" s="16" t="s">
        <v>16</v>
      </c>
      <c r="C2656" s="15" t="str">
        <f>"20190119313"</f>
        <v>20190119313</v>
      </c>
      <c r="D2656" s="17">
        <v>60</v>
      </c>
    </row>
    <row r="2657" spans="1:4" ht="21.75" customHeight="1">
      <c r="A2657" s="15" t="s">
        <v>72</v>
      </c>
      <c r="B2657" s="16" t="s">
        <v>16</v>
      </c>
      <c r="C2657" s="15" t="str">
        <f>"20190119314"</f>
        <v>20190119314</v>
      </c>
      <c r="D2657" s="17">
        <v>67.5</v>
      </c>
    </row>
    <row r="2658" spans="1:4" ht="21.75" customHeight="1">
      <c r="A2658" s="15" t="s">
        <v>72</v>
      </c>
      <c r="B2658" s="16" t="s">
        <v>16</v>
      </c>
      <c r="C2658" s="15" t="str">
        <f>"20190119315"</f>
        <v>20190119315</v>
      </c>
      <c r="D2658" s="17">
        <v>65</v>
      </c>
    </row>
    <row r="2659" spans="1:4" ht="21.75" customHeight="1">
      <c r="A2659" s="15" t="s">
        <v>72</v>
      </c>
      <c r="B2659" s="16" t="s">
        <v>16</v>
      </c>
      <c r="C2659" s="15" t="str">
        <f>"20190119316"</f>
        <v>20190119316</v>
      </c>
      <c r="D2659" s="17" t="s">
        <v>12</v>
      </c>
    </row>
    <row r="2660" spans="1:4" ht="21.75" customHeight="1">
      <c r="A2660" s="15" t="s">
        <v>72</v>
      </c>
      <c r="B2660" s="16" t="s">
        <v>16</v>
      </c>
      <c r="C2660" s="15" t="str">
        <f>"20190119317"</f>
        <v>20190119317</v>
      </c>
      <c r="D2660" s="17">
        <v>59</v>
      </c>
    </row>
    <row r="2661" spans="1:4" ht="21.75" customHeight="1">
      <c r="A2661" s="15" t="s">
        <v>72</v>
      </c>
      <c r="B2661" s="16" t="s">
        <v>16</v>
      </c>
      <c r="C2661" s="15" t="str">
        <f>"20190119318"</f>
        <v>20190119318</v>
      </c>
      <c r="D2661" s="17" t="s">
        <v>12</v>
      </c>
    </row>
    <row r="2662" spans="1:4" ht="21.75" customHeight="1">
      <c r="A2662" s="15" t="s">
        <v>72</v>
      </c>
      <c r="B2662" s="16" t="s">
        <v>16</v>
      </c>
      <c r="C2662" s="15" t="str">
        <f>"20190119319"</f>
        <v>20190119319</v>
      </c>
      <c r="D2662" s="17" t="s">
        <v>12</v>
      </c>
    </row>
    <row r="2663" spans="1:4" ht="21.75" customHeight="1">
      <c r="A2663" s="15" t="s">
        <v>72</v>
      </c>
      <c r="B2663" s="16" t="s">
        <v>16</v>
      </c>
      <c r="C2663" s="15" t="str">
        <f>"20190119320"</f>
        <v>20190119320</v>
      </c>
      <c r="D2663" s="17">
        <v>61</v>
      </c>
    </row>
    <row r="2664" spans="1:4" ht="21.75" customHeight="1">
      <c r="A2664" s="15" t="s">
        <v>72</v>
      </c>
      <c r="B2664" s="16" t="s">
        <v>16</v>
      </c>
      <c r="C2664" s="15" t="str">
        <f>"20190119321"</f>
        <v>20190119321</v>
      </c>
      <c r="D2664" s="17">
        <v>59.5</v>
      </c>
    </row>
    <row r="2665" spans="1:4" ht="21.75" customHeight="1">
      <c r="A2665" s="15" t="s">
        <v>72</v>
      </c>
      <c r="B2665" s="16" t="s">
        <v>16</v>
      </c>
      <c r="C2665" s="15" t="str">
        <f>"20190119322"</f>
        <v>20190119322</v>
      </c>
      <c r="D2665" s="17" t="s">
        <v>12</v>
      </c>
    </row>
    <row r="2666" spans="1:4" ht="21.75" customHeight="1">
      <c r="A2666" s="15" t="s">
        <v>72</v>
      </c>
      <c r="B2666" s="16" t="s">
        <v>16</v>
      </c>
      <c r="C2666" s="15" t="str">
        <f>"20190119323"</f>
        <v>20190119323</v>
      </c>
      <c r="D2666" s="17">
        <v>59</v>
      </c>
    </row>
    <row r="2667" spans="1:4" ht="21.75" customHeight="1">
      <c r="A2667" s="15" t="s">
        <v>72</v>
      </c>
      <c r="B2667" s="16" t="s">
        <v>16</v>
      </c>
      <c r="C2667" s="15" t="str">
        <f>"20190119324"</f>
        <v>20190119324</v>
      </c>
      <c r="D2667" s="17">
        <v>60.5</v>
      </c>
    </row>
    <row r="2668" spans="1:4" ht="21.75" customHeight="1">
      <c r="A2668" s="15" t="s">
        <v>72</v>
      </c>
      <c r="B2668" s="16" t="s">
        <v>16</v>
      </c>
      <c r="C2668" s="15" t="str">
        <f>"20190119325"</f>
        <v>20190119325</v>
      </c>
      <c r="D2668" s="17">
        <v>53</v>
      </c>
    </row>
    <row r="2669" spans="1:5" ht="21.75" customHeight="1">
      <c r="A2669" s="15" t="s">
        <v>72</v>
      </c>
      <c r="B2669" s="16" t="s">
        <v>16</v>
      </c>
      <c r="C2669" s="15" t="str">
        <f>"20190119326"</f>
        <v>20190119326</v>
      </c>
      <c r="D2669" s="17">
        <v>71</v>
      </c>
      <c r="E2669" s="18" t="s">
        <v>9</v>
      </c>
    </row>
    <row r="2670" spans="1:4" ht="21.75" customHeight="1">
      <c r="A2670" s="15" t="s">
        <v>72</v>
      </c>
      <c r="B2670" s="16" t="s">
        <v>16</v>
      </c>
      <c r="C2670" s="15" t="str">
        <f>"20190119327"</f>
        <v>20190119327</v>
      </c>
      <c r="D2670" s="17">
        <v>59</v>
      </c>
    </row>
    <row r="2671" spans="1:4" ht="21.75" customHeight="1">
      <c r="A2671" s="15" t="s">
        <v>72</v>
      </c>
      <c r="B2671" s="16" t="s">
        <v>16</v>
      </c>
      <c r="C2671" s="15" t="str">
        <f>"20190119328"</f>
        <v>20190119328</v>
      </c>
      <c r="D2671" s="17">
        <v>56.5</v>
      </c>
    </row>
    <row r="2672" spans="1:5" ht="21.75" customHeight="1">
      <c r="A2672" s="15" t="s">
        <v>72</v>
      </c>
      <c r="B2672" s="16" t="s">
        <v>16</v>
      </c>
      <c r="C2672" s="15" t="str">
        <f>"20190119329"</f>
        <v>20190119329</v>
      </c>
      <c r="D2672" s="17">
        <v>68.5</v>
      </c>
      <c r="E2672" s="18" t="s">
        <v>9</v>
      </c>
    </row>
    <row r="2673" spans="1:4" ht="21.75" customHeight="1">
      <c r="A2673" s="15" t="s">
        <v>72</v>
      </c>
      <c r="B2673" s="16" t="s">
        <v>16</v>
      </c>
      <c r="C2673" s="15" t="str">
        <f>"20190119330"</f>
        <v>20190119330</v>
      </c>
      <c r="D2673" s="17" t="s">
        <v>12</v>
      </c>
    </row>
    <row r="2674" spans="1:4" ht="21.75" customHeight="1">
      <c r="A2674" s="15" t="s">
        <v>72</v>
      </c>
      <c r="B2674" s="16" t="s">
        <v>16</v>
      </c>
      <c r="C2674" s="15" t="str">
        <f>"20190119401"</f>
        <v>20190119401</v>
      </c>
      <c r="D2674" s="17">
        <v>61</v>
      </c>
    </row>
    <row r="2675" spans="1:4" ht="21.75" customHeight="1">
      <c r="A2675" s="15" t="s">
        <v>72</v>
      </c>
      <c r="B2675" s="16" t="s">
        <v>16</v>
      </c>
      <c r="C2675" s="15" t="str">
        <f>"20190119402"</f>
        <v>20190119402</v>
      </c>
      <c r="D2675" s="17" t="s">
        <v>12</v>
      </c>
    </row>
    <row r="2676" spans="1:4" ht="21.75" customHeight="1">
      <c r="A2676" s="15" t="s">
        <v>72</v>
      </c>
      <c r="B2676" s="16" t="s">
        <v>16</v>
      </c>
      <c r="C2676" s="15" t="str">
        <f>"20190119403"</f>
        <v>20190119403</v>
      </c>
      <c r="D2676" s="17" t="s">
        <v>12</v>
      </c>
    </row>
    <row r="2677" spans="1:4" ht="21.75" customHeight="1">
      <c r="A2677" s="15" t="s">
        <v>72</v>
      </c>
      <c r="B2677" s="16" t="s">
        <v>16</v>
      </c>
      <c r="C2677" s="15" t="str">
        <f>"20190119404"</f>
        <v>20190119404</v>
      </c>
      <c r="D2677" s="17">
        <v>66.5</v>
      </c>
    </row>
    <row r="2678" spans="1:4" ht="21.75" customHeight="1">
      <c r="A2678" s="15" t="s">
        <v>72</v>
      </c>
      <c r="B2678" s="16" t="s">
        <v>16</v>
      </c>
      <c r="C2678" s="15" t="str">
        <f>"20190119405"</f>
        <v>20190119405</v>
      </c>
      <c r="D2678" s="17">
        <v>60</v>
      </c>
    </row>
    <row r="2679" spans="1:4" ht="21.75" customHeight="1">
      <c r="A2679" s="15" t="s">
        <v>72</v>
      </c>
      <c r="B2679" s="16" t="s">
        <v>16</v>
      </c>
      <c r="C2679" s="15" t="str">
        <f>"20190119406"</f>
        <v>20190119406</v>
      </c>
      <c r="D2679" s="17">
        <v>59</v>
      </c>
    </row>
    <row r="2680" spans="1:4" ht="21.75" customHeight="1">
      <c r="A2680" s="15" t="s">
        <v>72</v>
      </c>
      <c r="B2680" s="16" t="s">
        <v>16</v>
      </c>
      <c r="C2680" s="15" t="str">
        <f>"20190119407"</f>
        <v>20190119407</v>
      </c>
      <c r="D2680" s="17" t="s">
        <v>12</v>
      </c>
    </row>
    <row r="2681" spans="1:4" ht="21.75" customHeight="1">
      <c r="A2681" s="15" t="s">
        <v>72</v>
      </c>
      <c r="B2681" s="16" t="s">
        <v>16</v>
      </c>
      <c r="C2681" s="15" t="str">
        <f>"20190119408"</f>
        <v>20190119408</v>
      </c>
      <c r="D2681" s="17">
        <v>55</v>
      </c>
    </row>
    <row r="2682" spans="1:4" ht="21.75" customHeight="1">
      <c r="A2682" s="15" t="s">
        <v>72</v>
      </c>
      <c r="B2682" s="16" t="s">
        <v>16</v>
      </c>
      <c r="C2682" s="15" t="str">
        <f>"20190119409"</f>
        <v>20190119409</v>
      </c>
      <c r="D2682" s="17">
        <v>59</v>
      </c>
    </row>
    <row r="2683" spans="1:4" ht="21.75" customHeight="1">
      <c r="A2683" s="15" t="s">
        <v>72</v>
      </c>
      <c r="B2683" s="16" t="s">
        <v>16</v>
      </c>
      <c r="C2683" s="15" t="str">
        <f>"20190119410"</f>
        <v>20190119410</v>
      </c>
      <c r="D2683" s="17">
        <v>66.5</v>
      </c>
    </row>
    <row r="2684" spans="1:4" ht="21.75" customHeight="1">
      <c r="A2684" s="15" t="s">
        <v>72</v>
      </c>
      <c r="B2684" s="16" t="s">
        <v>16</v>
      </c>
      <c r="C2684" s="15" t="str">
        <f>"20190119411"</f>
        <v>20190119411</v>
      </c>
      <c r="D2684" s="17" t="s">
        <v>12</v>
      </c>
    </row>
    <row r="2685" spans="1:4" ht="21.75" customHeight="1">
      <c r="A2685" s="15" t="s">
        <v>72</v>
      </c>
      <c r="B2685" s="16" t="s">
        <v>16</v>
      </c>
      <c r="C2685" s="15" t="str">
        <f>"20190119412"</f>
        <v>20190119412</v>
      </c>
      <c r="D2685" s="17">
        <v>59.5</v>
      </c>
    </row>
    <row r="2686" spans="1:4" ht="21.75" customHeight="1">
      <c r="A2686" s="15" t="s">
        <v>72</v>
      </c>
      <c r="B2686" s="16" t="s">
        <v>16</v>
      </c>
      <c r="C2686" s="15" t="str">
        <f>"20190119413"</f>
        <v>20190119413</v>
      </c>
      <c r="D2686" s="17">
        <v>61</v>
      </c>
    </row>
    <row r="2687" spans="1:4" ht="21.75" customHeight="1">
      <c r="A2687" s="15" t="s">
        <v>72</v>
      </c>
      <c r="B2687" s="16" t="s">
        <v>16</v>
      </c>
      <c r="C2687" s="15" t="str">
        <f>"20190119414"</f>
        <v>20190119414</v>
      </c>
      <c r="D2687" s="17">
        <v>49.5</v>
      </c>
    </row>
    <row r="2688" spans="1:5" ht="21.75" customHeight="1">
      <c r="A2688" s="20" t="s">
        <v>72</v>
      </c>
      <c r="B2688" s="21" t="s">
        <v>22</v>
      </c>
      <c r="C2688" s="15" t="str">
        <f>"20190119415"</f>
        <v>20190119415</v>
      </c>
      <c r="D2688" s="17">
        <v>69</v>
      </c>
      <c r="E2688" s="18" t="s">
        <v>9</v>
      </c>
    </row>
    <row r="2689" spans="1:5" ht="21.75" customHeight="1">
      <c r="A2689" s="20" t="s">
        <v>72</v>
      </c>
      <c r="B2689" s="21" t="s">
        <v>22</v>
      </c>
      <c r="C2689" s="15" t="str">
        <f>"20190119416"</f>
        <v>20190119416</v>
      </c>
      <c r="D2689" s="17">
        <v>65.5</v>
      </c>
      <c r="E2689" s="18" t="s">
        <v>9</v>
      </c>
    </row>
    <row r="2690" spans="1:4" ht="21.75" customHeight="1">
      <c r="A2690" s="20" t="s">
        <v>72</v>
      </c>
      <c r="B2690" s="21" t="s">
        <v>22</v>
      </c>
      <c r="C2690" s="15" t="str">
        <f>"20190119417"</f>
        <v>20190119417</v>
      </c>
      <c r="D2690" s="17">
        <v>46</v>
      </c>
    </row>
    <row r="2691" spans="1:4" ht="21.75" customHeight="1">
      <c r="A2691" s="20" t="s">
        <v>72</v>
      </c>
      <c r="B2691" s="21" t="s">
        <v>22</v>
      </c>
      <c r="C2691" s="15" t="str">
        <f>"20190119418"</f>
        <v>20190119418</v>
      </c>
      <c r="D2691" s="17">
        <v>50.5</v>
      </c>
    </row>
    <row r="2692" spans="1:4" ht="21.75" customHeight="1">
      <c r="A2692" s="20" t="s">
        <v>72</v>
      </c>
      <c r="B2692" s="21" t="s">
        <v>22</v>
      </c>
      <c r="C2692" s="15" t="str">
        <f>"20190119419"</f>
        <v>20190119419</v>
      </c>
      <c r="D2692" s="17" t="s">
        <v>12</v>
      </c>
    </row>
    <row r="2693" spans="1:5" ht="21.75" customHeight="1">
      <c r="A2693" s="20" t="s">
        <v>72</v>
      </c>
      <c r="B2693" s="21" t="s">
        <v>22</v>
      </c>
      <c r="C2693" s="15" t="str">
        <f>"20190119420"</f>
        <v>20190119420</v>
      </c>
      <c r="D2693" s="17">
        <v>63.5</v>
      </c>
      <c r="E2693" s="18" t="s">
        <v>9</v>
      </c>
    </row>
    <row r="2694" spans="1:4" ht="21.75" customHeight="1">
      <c r="A2694" s="20" t="s">
        <v>72</v>
      </c>
      <c r="B2694" s="21" t="s">
        <v>22</v>
      </c>
      <c r="C2694" s="15" t="str">
        <f>"20190119421"</f>
        <v>20190119421</v>
      </c>
      <c r="D2694" s="17">
        <v>58.5</v>
      </c>
    </row>
    <row r="2695" spans="1:4" ht="21.75" customHeight="1">
      <c r="A2695" s="20" t="s">
        <v>72</v>
      </c>
      <c r="B2695" s="21" t="s">
        <v>22</v>
      </c>
      <c r="C2695" s="15" t="str">
        <f>"20190119422"</f>
        <v>20190119422</v>
      </c>
      <c r="D2695" s="17">
        <v>60.5</v>
      </c>
    </row>
    <row r="2696" spans="1:4" ht="21.75" customHeight="1">
      <c r="A2696" s="20" t="s">
        <v>72</v>
      </c>
      <c r="B2696" s="21" t="s">
        <v>22</v>
      </c>
      <c r="C2696" s="15" t="str">
        <f>"20190119423"</f>
        <v>20190119423</v>
      </c>
      <c r="D2696" s="17" t="s">
        <v>12</v>
      </c>
    </row>
    <row r="2697" spans="1:4" ht="21.75" customHeight="1">
      <c r="A2697" s="20" t="s">
        <v>72</v>
      </c>
      <c r="B2697" s="21" t="s">
        <v>22</v>
      </c>
      <c r="C2697" s="15" t="str">
        <f>"20190119424"</f>
        <v>20190119424</v>
      </c>
      <c r="D2697" s="17">
        <v>58.5</v>
      </c>
    </row>
    <row r="2698" spans="1:4" ht="21.75" customHeight="1">
      <c r="A2698" s="20" t="s">
        <v>72</v>
      </c>
      <c r="B2698" s="21" t="s">
        <v>22</v>
      </c>
      <c r="C2698" s="15" t="str">
        <f>"20190119425"</f>
        <v>20190119425</v>
      </c>
      <c r="D2698" s="17" t="s">
        <v>12</v>
      </c>
    </row>
    <row r="2699" spans="1:5" ht="21.75" customHeight="1">
      <c r="A2699" s="20" t="s">
        <v>72</v>
      </c>
      <c r="B2699" s="21" t="s">
        <v>22</v>
      </c>
      <c r="C2699" s="15" t="str">
        <f>"20190119426"</f>
        <v>20190119426</v>
      </c>
      <c r="D2699" s="17">
        <v>60.5</v>
      </c>
      <c r="E2699" s="19"/>
    </row>
    <row r="2700" spans="1:5" ht="21.75" customHeight="1">
      <c r="A2700" s="20" t="s">
        <v>72</v>
      </c>
      <c r="B2700" s="21" t="s">
        <v>22</v>
      </c>
      <c r="C2700" s="15" t="str">
        <f>"20190119427"</f>
        <v>20190119427</v>
      </c>
      <c r="D2700" s="17" t="s">
        <v>12</v>
      </c>
      <c r="E2700" s="19"/>
    </row>
    <row r="2701" spans="1:5" ht="21.75" customHeight="1">
      <c r="A2701" s="15" t="s">
        <v>73</v>
      </c>
      <c r="B2701" s="16" t="s">
        <v>19</v>
      </c>
      <c r="C2701" s="15" t="str">
        <f>"20190119428"</f>
        <v>20190119428</v>
      </c>
      <c r="D2701" s="17">
        <v>65</v>
      </c>
      <c r="E2701" s="19"/>
    </row>
    <row r="2702" spans="1:4" ht="21.75" customHeight="1">
      <c r="A2702" s="15" t="s">
        <v>73</v>
      </c>
      <c r="B2702" s="16" t="s">
        <v>19</v>
      </c>
      <c r="C2702" s="15" t="str">
        <f>"20190119429"</f>
        <v>20190119429</v>
      </c>
      <c r="D2702" s="17">
        <v>55</v>
      </c>
    </row>
    <row r="2703" spans="1:5" ht="21.75" customHeight="1">
      <c r="A2703" s="15" t="s">
        <v>73</v>
      </c>
      <c r="B2703" s="16" t="s">
        <v>19</v>
      </c>
      <c r="C2703" s="15" t="str">
        <f>"20190119430"</f>
        <v>20190119430</v>
      </c>
      <c r="D2703" s="17">
        <v>69.5</v>
      </c>
      <c r="E2703" s="18" t="s">
        <v>9</v>
      </c>
    </row>
    <row r="2704" spans="1:4" ht="21.75" customHeight="1">
      <c r="A2704" s="15" t="s">
        <v>73</v>
      </c>
      <c r="B2704" s="16" t="s">
        <v>19</v>
      </c>
      <c r="C2704" s="15" t="str">
        <f>"20190119501"</f>
        <v>20190119501</v>
      </c>
      <c r="D2704" s="17">
        <v>59.5</v>
      </c>
    </row>
    <row r="2705" spans="1:4" ht="21.75" customHeight="1">
      <c r="A2705" s="15" t="s">
        <v>73</v>
      </c>
      <c r="B2705" s="16" t="s">
        <v>19</v>
      </c>
      <c r="C2705" s="15" t="str">
        <f>"20190119502"</f>
        <v>20190119502</v>
      </c>
      <c r="D2705" s="17" t="s">
        <v>12</v>
      </c>
    </row>
    <row r="2706" spans="1:4" ht="21.75" customHeight="1">
      <c r="A2706" s="15" t="s">
        <v>73</v>
      </c>
      <c r="B2706" s="16" t="s">
        <v>19</v>
      </c>
      <c r="C2706" s="15" t="str">
        <f>"20190119503"</f>
        <v>20190119503</v>
      </c>
      <c r="D2706" s="17">
        <v>55</v>
      </c>
    </row>
    <row r="2707" spans="1:4" ht="21.75" customHeight="1">
      <c r="A2707" s="15" t="s">
        <v>73</v>
      </c>
      <c r="B2707" s="16" t="s">
        <v>19</v>
      </c>
      <c r="C2707" s="15" t="str">
        <f>"20190119504"</f>
        <v>20190119504</v>
      </c>
      <c r="D2707" s="17">
        <v>50</v>
      </c>
    </row>
    <row r="2708" spans="1:4" ht="21.75" customHeight="1">
      <c r="A2708" s="15" t="s">
        <v>73</v>
      </c>
      <c r="B2708" s="16" t="s">
        <v>19</v>
      </c>
      <c r="C2708" s="15" t="str">
        <f>"20190119505"</f>
        <v>20190119505</v>
      </c>
      <c r="D2708" s="17">
        <v>55.5</v>
      </c>
    </row>
    <row r="2709" spans="1:4" ht="21.75" customHeight="1">
      <c r="A2709" s="15" t="s">
        <v>73</v>
      </c>
      <c r="B2709" s="16" t="s">
        <v>19</v>
      </c>
      <c r="C2709" s="15" t="str">
        <f>"20190119506"</f>
        <v>20190119506</v>
      </c>
      <c r="D2709" s="17">
        <v>53</v>
      </c>
    </row>
    <row r="2710" spans="1:4" ht="21.75" customHeight="1">
      <c r="A2710" s="15" t="s">
        <v>73</v>
      </c>
      <c r="B2710" s="16" t="s">
        <v>19</v>
      </c>
      <c r="C2710" s="15" t="str">
        <f>"20190119507"</f>
        <v>20190119507</v>
      </c>
      <c r="D2710" s="17">
        <v>62.5</v>
      </c>
    </row>
    <row r="2711" spans="1:5" ht="21.75" customHeight="1">
      <c r="A2711" s="15" t="s">
        <v>73</v>
      </c>
      <c r="B2711" s="16" t="s">
        <v>19</v>
      </c>
      <c r="C2711" s="15" t="str">
        <f>"20190119508"</f>
        <v>20190119508</v>
      </c>
      <c r="D2711" s="17">
        <v>67.5</v>
      </c>
      <c r="E2711" s="18" t="s">
        <v>9</v>
      </c>
    </row>
    <row r="2712" spans="1:4" ht="21.75" customHeight="1">
      <c r="A2712" s="15" t="s">
        <v>73</v>
      </c>
      <c r="B2712" s="16" t="s">
        <v>19</v>
      </c>
      <c r="C2712" s="15" t="str">
        <f>"20190119509"</f>
        <v>20190119509</v>
      </c>
      <c r="D2712" s="17">
        <v>62</v>
      </c>
    </row>
    <row r="2713" spans="1:4" ht="21.75" customHeight="1">
      <c r="A2713" s="15" t="s">
        <v>73</v>
      </c>
      <c r="B2713" s="16" t="s">
        <v>19</v>
      </c>
      <c r="C2713" s="15" t="str">
        <f>"20190119510"</f>
        <v>20190119510</v>
      </c>
      <c r="D2713" s="17">
        <v>63</v>
      </c>
    </row>
    <row r="2714" spans="1:4" ht="21.75" customHeight="1">
      <c r="A2714" s="15" t="s">
        <v>73</v>
      </c>
      <c r="B2714" s="16" t="s">
        <v>19</v>
      </c>
      <c r="C2714" s="15" t="str">
        <f>"20190119511"</f>
        <v>20190119511</v>
      </c>
      <c r="D2714" s="17">
        <v>61.5</v>
      </c>
    </row>
    <row r="2715" spans="1:4" ht="21.75" customHeight="1">
      <c r="A2715" s="15" t="s">
        <v>73</v>
      </c>
      <c r="B2715" s="16" t="s">
        <v>19</v>
      </c>
      <c r="C2715" s="15" t="str">
        <f>"20190119512"</f>
        <v>20190119512</v>
      </c>
      <c r="D2715" s="17">
        <v>52</v>
      </c>
    </row>
    <row r="2716" spans="1:4" ht="21.75" customHeight="1">
      <c r="A2716" s="15" t="s">
        <v>73</v>
      </c>
      <c r="B2716" s="16" t="s">
        <v>19</v>
      </c>
      <c r="C2716" s="15" t="str">
        <f>"20190119513"</f>
        <v>20190119513</v>
      </c>
      <c r="D2716" s="17">
        <v>63</v>
      </c>
    </row>
    <row r="2717" spans="1:4" ht="21.75" customHeight="1">
      <c r="A2717" s="15" t="s">
        <v>73</v>
      </c>
      <c r="B2717" s="16" t="s">
        <v>19</v>
      </c>
      <c r="C2717" s="15" t="str">
        <f>"20190119514"</f>
        <v>20190119514</v>
      </c>
      <c r="D2717" s="17">
        <v>59</v>
      </c>
    </row>
    <row r="2718" spans="1:4" ht="21.75" customHeight="1">
      <c r="A2718" s="15" t="s">
        <v>73</v>
      </c>
      <c r="B2718" s="16" t="s">
        <v>19</v>
      </c>
      <c r="C2718" s="15" t="str">
        <f>"20190119515"</f>
        <v>20190119515</v>
      </c>
      <c r="D2718" s="17">
        <v>57</v>
      </c>
    </row>
    <row r="2719" spans="1:4" ht="21.75" customHeight="1">
      <c r="A2719" s="15" t="s">
        <v>73</v>
      </c>
      <c r="B2719" s="16" t="s">
        <v>19</v>
      </c>
      <c r="C2719" s="15" t="str">
        <f>"20190119516"</f>
        <v>20190119516</v>
      </c>
      <c r="D2719" s="17">
        <v>59.5</v>
      </c>
    </row>
    <row r="2720" spans="1:4" ht="21.75" customHeight="1">
      <c r="A2720" s="15" t="s">
        <v>73</v>
      </c>
      <c r="B2720" s="16" t="s">
        <v>19</v>
      </c>
      <c r="C2720" s="15" t="str">
        <f>"20190119517"</f>
        <v>20190119517</v>
      </c>
      <c r="D2720" s="17" t="s">
        <v>12</v>
      </c>
    </row>
    <row r="2721" spans="1:4" ht="21.75" customHeight="1">
      <c r="A2721" s="15" t="s">
        <v>73</v>
      </c>
      <c r="B2721" s="16" t="s">
        <v>19</v>
      </c>
      <c r="C2721" s="15" t="str">
        <f>"20190119518"</f>
        <v>20190119518</v>
      </c>
      <c r="D2721" s="17">
        <v>63</v>
      </c>
    </row>
    <row r="2722" spans="1:4" ht="21.75" customHeight="1">
      <c r="A2722" s="15" t="s">
        <v>73</v>
      </c>
      <c r="B2722" s="16" t="s">
        <v>19</v>
      </c>
      <c r="C2722" s="15" t="str">
        <f>"20190119519"</f>
        <v>20190119519</v>
      </c>
      <c r="D2722" s="17">
        <v>65</v>
      </c>
    </row>
    <row r="2723" spans="1:4" ht="21.75" customHeight="1">
      <c r="A2723" s="15" t="s">
        <v>73</v>
      </c>
      <c r="B2723" s="16" t="s">
        <v>19</v>
      </c>
      <c r="C2723" s="15" t="str">
        <f>"20190119520"</f>
        <v>20190119520</v>
      </c>
      <c r="D2723" s="17">
        <v>59</v>
      </c>
    </row>
    <row r="2724" spans="1:4" ht="21.75" customHeight="1">
      <c r="A2724" s="15" t="s">
        <v>73</v>
      </c>
      <c r="B2724" s="16" t="s">
        <v>19</v>
      </c>
      <c r="C2724" s="15" t="str">
        <f>"20190119521"</f>
        <v>20190119521</v>
      </c>
      <c r="D2724" s="17">
        <v>31.5</v>
      </c>
    </row>
    <row r="2725" spans="1:4" ht="21.75" customHeight="1">
      <c r="A2725" s="15" t="s">
        <v>73</v>
      </c>
      <c r="B2725" s="16" t="s">
        <v>19</v>
      </c>
      <c r="C2725" s="15" t="str">
        <f>"20190119522"</f>
        <v>20190119522</v>
      </c>
      <c r="D2725" s="17">
        <v>52.5</v>
      </c>
    </row>
    <row r="2726" spans="1:4" ht="21.75" customHeight="1">
      <c r="A2726" s="15" t="s">
        <v>73</v>
      </c>
      <c r="B2726" s="16" t="s">
        <v>19</v>
      </c>
      <c r="C2726" s="15" t="str">
        <f>"20190119523"</f>
        <v>20190119523</v>
      </c>
      <c r="D2726" s="17">
        <v>59.5</v>
      </c>
    </row>
    <row r="2727" spans="1:4" ht="21.75" customHeight="1">
      <c r="A2727" s="15" t="s">
        <v>73</v>
      </c>
      <c r="B2727" s="16" t="s">
        <v>19</v>
      </c>
      <c r="C2727" s="15" t="str">
        <f>"20190119524"</f>
        <v>20190119524</v>
      </c>
      <c r="D2727" s="17" t="s">
        <v>12</v>
      </c>
    </row>
    <row r="2728" spans="1:4" ht="21.75" customHeight="1">
      <c r="A2728" s="15" t="s">
        <v>73</v>
      </c>
      <c r="B2728" s="16" t="s">
        <v>19</v>
      </c>
      <c r="C2728" s="15" t="str">
        <f>"20190119525"</f>
        <v>20190119525</v>
      </c>
      <c r="D2728" s="17">
        <v>51</v>
      </c>
    </row>
    <row r="2729" spans="1:4" ht="21.75" customHeight="1">
      <c r="A2729" s="15" t="s">
        <v>73</v>
      </c>
      <c r="B2729" s="16" t="s">
        <v>19</v>
      </c>
      <c r="C2729" s="15" t="str">
        <f>"20190119526"</f>
        <v>20190119526</v>
      </c>
      <c r="D2729" s="17">
        <v>64.5</v>
      </c>
    </row>
    <row r="2730" spans="1:4" ht="21.75" customHeight="1">
      <c r="A2730" s="15" t="s">
        <v>73</v>
      </c>
      <c r="B2730" s="16" t="s">
        <v>19</v>
      </c>
      <c r="C2730" s="15" t="str">
        <f>"20190119527"</f>
        <v>20190119527</v>
      </c>
      <c r="D2730" s="17" t="s">
        <v>12</v>
      </c>
    </row>
    <row r="2731" spans="1:4" ht="21.75" customHeight="1">
      <c r="A2731" s="15" t="s">
        <v>73</v>
      </c>
      <c r="B2731" s="16" t="s">
        <v>19</v>
      </c>
      <c r="C2731" s="15" t="str">
        <f>"20190119528"</f>
        <v>20190119528</v>
      </c>
      <c r="D2731" s="17" t="s">
        <v>12</v>
      </c>
    </row>
    <row r="2732" spans="1:4" ht="21.75" customHeight="1">
      <c r="A2732" s="15" t="s">
        <v>73</v>
      </c>
      <c r="B2732" s="16" t="s">
        <v>19</v>
      </c>
      <c r="C2732" s="15" t="str">
        <f>"20190119529"</f>
        <v>20190119529</v>
      </c>
      <c r="D2732" s="17">
        <v>53</v>
      </c>
    </row>
    <row r="2733" spans="1:4" ht="21.75" customHeight="1">
      <c r="A2733" s="15" t="s">
        <v>73</v>
      </c>
      <c r="B2733" s="16" t="s">
        <v>19</v>
      </c>
      <c r="C2733" s="15" t="str">
        <f>"20190119530"</f>
        <v>20190119530</v>
      </c>
      <c r="D2733" s="17">
        <v>60</v>
      </c>
    </row>
    <row r="2734" spans="1:5" ht="21.75" customHeight="1">
      <c r="A2734" s="15" t="s">
        <v>73</v>
      </c>
      <c r="B2734" s="16" t="s">
        <v>19</v>
      </c>
      <c r="C2734" s="15" t="str">
        <f>"20190119601"</f>
        <v>20190119601</v>
      </c>
      <c r="D2734" s="17">
        <v>68</v>
      </c>
      <c r="E2734" s="18" t="s">
        <v>9</v>
      </c>
    </row>
    <row r="2735" spans="1:4" ht="21.75" customHeight="1">
      <c r="A2735" s="15" t="s">
        <v>73</v>
      </c>
      <c r="B2735" s="16" t="s">
        <v>19</v>
      </c>
      <c r="C2735" s="15" t="str">
        <f>"20190119602"</f>
        <v>20190119602</v>
      </c>
      <c r="D2735" s="17">
        <v>55.5</v>
      </c>
    </row>
    <row r="2736" spans="1:4" ht="21.75" customHeight="1">
      <c r="A2736" s="15" t="s">
        <v>73</v>
      </c>
      <c r="B2736" s="16" t="s">
        <v>19</v>
      </c>
      <c r="C2736" s="15" t="str">
        <f>"20190119603"</f>
        <v>20190119603</v>
      </c>
      <c r="D2736" s="17">
        <v>60</v>
      </c>
    </row>
    <row r="2737" spans="1:4" ht="21.75" customHeight="1">
      <c r="A2737" s="15" t="s">
        <v>73</v>
      </c>
      <c r="B2737" s="16" t="s">
        <v>19</v>
      </c>
      <c r="C2737" s="15" t="str">
        <f>"20190119604"</f>
        <v>20190119604</v>
      </c>
      <c r="D2737" s="17" t="s">
        <v>12</v>
      </c>
    </row>
    <row r="2738" spans="1:4" ht="21.75" customHeight="1">
      <c r="A2738" s="15" t="s">
        <v>73</v>
      </c>
      <c r="B2738" s="16" t="s">
        <v>19</v>
      </c>
      <c r="C2738" s="15" t="str">
        <f>"20190119605"</f>
        <v>20190119605</v>
      </c>
      <c r="D2738" s="17">
        <v>50.5</v>
      </c>
    </row>
    <row r="2739" spans="1:4" ht="21.75" customHeight="1">
      <c r="A2739" s="15" t="s">
        <v>73</v>
      </c>
      <c r="B2739" s="16" t="s">
        <v>19</v>
      </c>
      <c r="C2739" s="15" t="str">
        <f>"20190119606"</f>
        <v>20190119606</v>
      </c>
      <c r="D2739" s="17" t="s">
        <v>12</v>
      </c>
    </row>
    <row r="2740" spans="1:4" ht="21.75" customHeight="1">
      <c r="A2740" s="15" t="s">
        <v>73</v>
      </c>
      <c r="B2740" s="16" t="s">
        <v>19</v>
      </c>
      <c r="C2740" s="15" t="str">
        <f>"20190119607"</f>
        <v>20190119607</v>
      </c>
      <c r="D2740" s="17">
        <v>61</v>
      </c>
    </row>
    <row r="2741" spans="1:4" ht="21.75" customHeight="1">
      <c r="A2741" s="15" t="s">
        <v>73</v>
      </c>
      <c r="B2741" s="16" t="s">
        <v>19</v>
      </c>
      <c r="C2741" s="15" t="str">
        <f>"20190119608"</f>
        <v>20190119608</v>
      </c>
      <c r="D2741" s="17" t="s">
        <v>12</v>
      </c>
    </row>
    <row r="2742" spans="1:4" ht="21.75" customHeight="1">
      <c r="A2742" s="15" t="s">
        <v>73</v>
      </c>
      <c r="B2742" s="16" t="s">
        <v>19</v>
      </c>
      <c r="C2742" s="15" t="str">
        <f>"20190119609"</f>
        <v>20190119609</v>
      </c>
      <c r="D2742" s="17" t="s">
        <v>12</v>
      </c>
    </row>
    <row r="2743" spans="1:5" ht="21.75" customHeight="1">
      <c r="A2743" s="15" t="s">
        <v>73</v>
      </c>
      <c r="B2743" s="16" t="s">
        <v>19</v>
      </c>
      <c r="C2743" s="15" t="str">
        <f>"20190119610"</f>
        <v>20190119610</v>
      </c>
      <c r="D2743" s="17" t="s">
        <v>12</v>
      </c>
      <c r="E2743" s="19"/>
    </row>
    <row r="2744" spans="1:5" ht="21.75" customHeight="1">
      <c r="A2744" s="15" t="s">
        <v>73</v>
      </c>
      <c r="B2744" s="16" t="s">
        <v>19</v>
      </c>
      <c r="C2744" s="15" t="str">
        <f>"20190119611"</f>
        <v>20190119611</v>
      </c>
      <c r="D2744" s="17">
        <v>62</v>
      </c>
      <c r="E2744" s="19"/>
    </row>
    <row r="2745" spans="1:5" ht="21.75" customHeight="1">
      <c r="A2745" s="15" t="s">
        <v>73</v>
      </c>
      <c r="B2745" s="16" t="s">
        <v>19</v>
      </c>
      <c r="C2745" s="15" t="str">
        <f>"20190119612"</f>
        <v>20190119612</v>
      </c>
      <c r="D2745" s="17" t="s">
        <v>12</v>
      </c>
      <c r="E2745" s="19"/>
    </row>
    <row r="2746" spans="1:4" ht="21.75" customHeight="1">
      <c r="A2746" s="15" t="s">
        <v>73</v>
      </c>
      <c r="B2746" s="16" t="s">
        <v>19</v>
      </c>
      <c r="C2746" s="15" t="str">
        <f>"20190119613"</f>
        <v>20190119613</v>
      </c>
      <c r="D2746" s="17" t="s">
        <v>12</v>
      </c>
    </row>
    <row r="2747" spans="1:4" ht="21.75" customHeight="1">
      <c r="A2747" s="15" t="s">
        <v>73</v>
      </c>
      <c r="B2747" s="16" t="s">
        <v>19</v>
      </c>
      <c r="C2747" s="15" t="str">
        <f>"20190119614"</f>
        <v>20190119614</v>
      </c>
      <c r="D2747" s="17">
        <v>50.5</v>
      </c>
    </row>
    <row r="2748" spans="1:4" ht="21.75" customHeight="1">
      <c r="A2748" s="15" t="s">
        <v>73</v>
      </c>
      <c r="B2748" s="16" t="s">
        <v>19</v>
      </c>
      <c r="C2748" s="15" t="str">
        <f>"20190119615"</f>
        <v>20190119615</v>
      </c>
      <c r="D2748" s="17" t="s">
        <v>12</v>
      </c>
    </row>
    <row r="2749" spans="1:4" ht="21.75" customHeight="1">
      <c r="A2749" s="15" t="s">
        <v>73</v>
      </c>
      <c r="B2749" s="16" t="s">
        <v>19</v>
      </c>
      <c r="C2749" s="15" t="str">
        <f>"20190119616"</f>
        <v>20190119616</v>
      </c>
      <c r="D2749" s="17" t="s">
        <v>12</v>
      </c>
    </row>
    <row r="2750" spans="1:4" ht="21.75" customHeight="1">
      <c r="A2750" s="15" t="s">
        <v>73</v>
      </c>
      <c r="B2750" s="16" t="s">
        <v>19</v>
      </c>
      <c r="C2750" s="15" t="str">
        <f>"20190119617"</f>
        <v>20190119617</v>
      </c>
      <c r="D2750" s="17" t="s">
        <v>12</v>
      </c>
    </row>
    <row r="2751" spans="1:4" ht="21.75" customHeight="1">
      <c r="A2751" s="15" t="s">
        <v>73</v>
      </c>
      <c r="B2751" s="16" t="s">
        <v>19</v>
      </c>
      <c r="C2751" s="15" t="str">
        <f>"20190119618"</f>
        <v>20190119618</v>
      </c>
      <c r="D2751" s="17">
        <v>46.5</v>
      </c>
    </row>
    <row r="2752" spans="1:4" ht="21.75" customHeight="1">
      <c r="A2752" s="15" t="s">
        <v>73</v>
      </c>
      <c r="B2752" s="16" t="s">
        <v>19</v>
      </c>
      <c r="C2752" s="15" t="str">
        <f>"20190119619"</f>
        <v>20190119619</v>
      </c>
      <c r="D2752" s="17">
        <v>58.5</v>
      </c>
    </row>
    <row r="2753" spans="1:4" ht="21.75" customHeight="1">
      <c r="A2753" s="15" t="s">
        <v>73</v>
      </c>
      <c r="B2753" s="16" t="s">
        <v>19</v>
      </c>
      <c r="C2753" s="15" t="str">
        <f>"20190119620"</f>
        <v>20190119620</v>
      </c>
      <c r="D2753" s="17">
        <v>61</v>
      </c>
    </row>
    <row r="2754" spans="1:5" ht="21.75" customHeight="1">
      <c r="A2754" s="20" t="s">
        <v>73</v>
      </c>
      <c r="B2754" s="21" t="s">
        <v>74</v>
      </c>
      <c r="C2754" s="15" t="str">
        <f>"20190119621"</f>
        <v>20190119621</v>
      </c>
      <c r="D2754" s="17">
        <v>74.5</v>
      </c>
      <c r="E2754" s="18" t="s">
        <v>9</v>
      </c>
    </row>
    <row r="2755" spans="1:4" ht="21.75" customHeight="1">
      <c r="A2755" s="20" t="s">
        <v>73</v>
      </c>
      <c r="B2755" s="21" t="s">
        <v>74</v>
      </c>
      <c r="C2755" s="15" t="str">
        <f>"20190119622"</f>
        <v>20190119622</v>
      </c>
      <c r="D2755" s="17">
        <v>53</v>
      </c>
    </row>
    <row r="2756" spans="1:4" ht="21.75" customHeight="1">
      <c r="A2756" s="20" t="s">
        <v>73</v>
      </c>
      <c r="B2756" s="21" t="s">
        <v>74</v>
      </c>
      <c r="C2756" s="15" t="str">
        <f>"20190119623"</f>
        <v>20190119623</v>
      </c>
      <c r="D2756" s="17">
        <v>64.5</v>
      </c>
    </row>
    <row r="2757" spans="1:4" ht="21.75" customHeight="1">
      <c r="A2757" s="20" t="s">
        <v>73</v>
      </c>
      <c r="B2757" s="21" t="s">
        <v>74</v>
      </c>
      <c r="C2757" s="15" t="str">
        <f>"20190119624"</f>
        <v>20190119624</v>
      </c>
      <c r="D2757" s="17">
        <v>54.5</v>
      </c>
    </row>
    <row r="2758" spans="1:4" ht="21.75" customHeight="1">
      <c r="A2758" s="20" t="s">
        <v>73</v>
      </c>
      <c r="B2758" s="21" t="s">
        <v>74</v>
      </c>
      <c r="C2758" s="15" t="str">
        <f>"20190119625"</f>
        <v>20190119625</v>
      </c>
      <c r="D2758" s="17">
        <v>49</v>
      </c>
    </row>
    <row r="2759" spans="1:4" ht="21.75" customHeight="1">
      <c r="A2759" s="20" t="s">
        <v>73</v>
      </c>
      <c r="B2759" s="21" t="s">
        <v>74</v>
      </c>
      <c r="C2759" s="15" t="str">
        <f>"20190119626"</f>
        <v>20190119626</v>
      </c>
      <c r="D2759" s="17">
        <v>61.5</v>
      </c>
    </row>
    <row r="2760" spans="1:4" ht="21.75" customHeight="1">
      <c r="A2760" s="20" t="s">
        <v>73</v>
      </c>
      <c r="B2760" s="21" t="s">
        <v>74</v>
      </c>
      <c r="C2760" s="15" t="str">
        <f>"20190119627"</f>
        <v>20190119627</v>
      </c>
      <c r="D2760" s="17">
        <v>66.5</v>
      </c>
    </row>
    <row r="2761" spans="1:4" ht="21.75" customHeight="1">
      <c r="A2761" s="20" t="s">
        <v>73</v>
      </c>
      <c r="B2761" s="21" t="s">
        <v>74</v>
      </c>
      <c r="C2761" s="15" t="str">
        <f>"20190119628"</f>
        <v>20190119628</v>
      </c>
      <c r="D2761" s="17">
        <v>67</v>
      </c>
    </row>
    <row r="2762" spans="1:4" ht="21.75" customHeight="1">
      <c r="A2762" s="20" t="s">
        <v>73</v>
      </c>
      <c r="B2762" s="21" t="s">
        <v>74</v>
      </c>
      <c r="C2762" s="15" t="str">
        <f>"20190119629"</f>
        <v>20190119629</v>
      </c>
      <c r="D2762" s="17">
        <v>66.5</v>
      </c>
    </row>
    <row r="2763" spans="1:4" ht="21.75" customHeight="1">
      <c r="A2763" s="20" t="s">
        <v>73</v>
      </c>
      <c r="B2763" s="21" t="s">
        <v>74</v>
      </c>
      <c r="C2763" s="15" t="str">
        <f>"20190119630"</f>
        <v>20190119630</v>
      </c>
      <c r="D2763" s="17">
        <v>61.5</v>
      </c>
    </row>
    <row r="2764" spans="1:4" ht="21.75" customHeight="1">
      <c r="A2764" s="20" t="s">
        <v>73</v>
      </c>
      <c r="B2764" s="21" t="s">
        <v>74</v>
      </c>
      <c r="C2764" s="15" t="str">
        <f>"20190119701"</f>
        <v>20190119701</v>
      </c>
      <c r="D2764" s="17">
        <v>68</v>
      </c>
    </row>
    <row r="2765" spans="1:4" ht="21.75" customHeight="1">
      <c r="A2765" s="20" t="s">
        <v>73</v>
      </c>
      <c r="B2765" s="21" t="s">
        <v>74</v>
      </c>
      <c r="C2765" s="15" t="str">
        <f>"20190119702"</f>
        <v>20190119702</v>
      </c>
      <c r="D2765" s="17">
        <v>53.5</v>
      </c>
    </row>
    <row r="2766" spans="1:4" ht="21.75" customHeight="1">
      <c r="A2766" s="20" t="s">
        <v>73</v>
      </c>
      <c r="B2766" s="21" t="s">
        <v>74</v>
      </c>
      <c r="C2766" s="15" t="str">
        <f>"20190119703"</f>
        <v>20190119703</v>
      </c>
      <c r="D2766" s="17">
        <v>58</v>
      </c>
    </row>
    <row r="2767" spans="1:4" ht="21.75" customHeight="1">
      <c r="A2767" s="20" t="s">
        <v>73</v>
      </c>
      <c r="B2767" s="21" t="s">
        <v>74</v>
      </c>
      <c r="C2767" s="15" t="str">
        <f>"20190119704"</f>
        <v>20190119704</v>
      </c>
      <c r="D2767" s="17">
        <v>58.5</v>
      </c>
    </row>
    <row r="2768" spans="1:5" ht="21.75" customHeight="1">
      <c r="A2768" s="20" t="s">
        <v>73</v>
      </c>
      <c r="B2768" s="21" t="s">
        <v>74</v>
      </c>
      <c r="C2768" s="15" t="str">
        <f>"20190119705"</f>
        <v>20190119705</v>
      </c>
      <c r="D2768" s="17">
        <v>72.5</v>
      </c>
      <c r="E2768" s="18" t="s">
        <v>9</v>
      </c>
    </row>
    <row r="2769" spans="1:4" ht="21.75" customHeight="1">
      <c r="A2769" s="20" t="s">
        <v>73</v>
      </c>
      <c r="B2769" s="21" t="s">
        <v>74</v>
      </c>
      <c r="C2769" s="15" t="str">
        <f>"20190119706"</f>
        <v>20190119706</v>
      </c>
      <c r="D2769" s="17" t="s">
        <v>12</v>
      </c>
    </row>
    <row r="2770" spans="1:4" ht="21.75" customHeight="1">
      <c r="A2770" s="20" t="s">
        <v>73</v>
      </c>
      <c r="B2770" s="21" t="s">
        <v>74</v>
      </c>
      <c r="C2770" s="15" t="str">
        <f>"20190119707"</f>
        <v>20190119707</v>
      </c>
      <c r="D2770" s="17">
        <v>69</v>
      </c>
    </row>
    <row r="2771" spans="1:4" ht="21.75" customHeight="1">
      <c r="A2771" s="20" t="s">
        <v>73</v>
      </c>
      <c r="B2771" s="21" t="s">
        <v>74</v>
      </c>
      <c r="C2771" s="15" t="str">
        <f>"20190119708"</f>
        <v>20190119708</v>
      </c>
      <c r="D2771" s="17">
        <v>63</v>
      </c>
    </row>
    <row r="2772" spans="1:4" ht="21.75" customHeight="1">
      <c r="A2772" s="20" t="s">
        <v>73</v>
      </c>
      <c r="B2772" s="21" t="s">
        <v>74</v>
      </c>
      <c r="C2772" s="15" t="str">
        <f>"20190119709"</f>
        <v>20190119709</v>
      </c>
      <c r="D2772" s="17">
        <v>61</v>
      </c>
    </row>
    <row r="2773" spans="1:5" ht="21.75" customHeight="1">
      <c r="A2773" s="20" t="s">
        <v>73</v>
      </c>
      <c r="B2773" s="21" t="s">
        <v>74</v>
      </c>
      <c r="C2773" s="15" t="str">
        <f>"20190119710"</f>
        <v>20190119710</v>
      </c>
      <c r="D2773" s="17">
        <v>70.5</v>
      </c>
      <c r="E2773" s="18" t="s">
        <v>9</v>
      </c>
    </row>
    <row r="2774" spans="1:5" ht="21.75" customHeight="1">
      <c r="A2774" s="20" t="s">
        <v>73</v>
      </c>
      <c r="B2774" s="21" t="s">
        <v>74</v>
      </c>
      <c r="C2774" s="15" t="str">
        <f>"20190119711"</f>
        <v>20190119711</v>
      </c>
      <c r="D2774" s="17">
        <v>66.5</v>
      </c>
      <c r="E2774" s="19"/>
    </row>
    <row r="2775" spans="1:5" ht="21.75" customHeight="1">
      <c r="A2775" s="20" t="s">
        <v>73</v>
      </c>
      <c r="B2775" s="21" t="s">
        <v>74</v>
      </c>
      <c r="C2775" s="15" t="str">
        <f>"20190119712"</f>
        <v>20190119712</v>
      </c>
      <c r="D2775" s="17">
        <v>54</v>
      </c>
      <c r="E2775" s="19"/>
    </row>
    <row r="2776" spans="1:5" ht="21.75" customHeight="1">
      <c r="A2776" s="20" t="s">
        <v>73</v>
      </c>
      <c r="B2776" s="21" t="s">
        <v>74</v>
      </c>
      <c r="C2776" s="15" t="str">
        <f>"20190119713"</f>
        <v>20190119713</v>
      </c>
      <c r="D2776" s="17">
        <v>66</v>
      </c>
      <c r="E2776" s="19"/>
    </row>
    <row r="2777" spans="1:5" ht="21.75" customHeight="1">
      <c r="A2777" s="20" t="s">
        <v>73</v>
      </c>
      <c r="B2777" s="21" t="s">
        <v>74</v>
      </c>
      <c r="C2777" s="15" t="str">
        <f>"20190119714"</f>
        <v>20190119714</v>
      </c>
      <c r="D2777" s="17" t="s">
        <v>12</v>
      </c>
      <c r="E2777" s="19"/>
    </row>
    <row r="2778" spans="1:5" ht="21.75" customHeight="1">
      <c r="A2778" s="20" t="s">
        <v>73</v>
      </c>
      <c r="B2778" s="21" t="s">
        <v>74</v>
      </c>
      <c r="C2778" s="15" t="str">
        <f>"20190119715"</f>
        <v>20190119715</v>
      </c>
      <c r="D2778" s="17" t="s">
        <v>12</v>
      </c>
      <c r="E2778" s="19"/>
    </row>
    <row r="2779" spans="1:5" ht="21.75" customHeight="1">
      <c r="A2779" s="20" t="s">
        <v>73</v>
      </c>
      <c r="B2779" s="21" t="s">
        <v>74</v>
      </c>
      <c r="C2779" s="15" t="str">
        <f>"20190119716"</f>
        <v>20190119716</v>
      </c>
      <c r="D2779" s="17" t="s">
        <v>12</v>
      </c>
      <c r="E2779" s="19"/>
    </row>
    <row r="2780" spans="1:5" ht="21.75" customHeight="1">
      <c r="A2780" s="20" t="s">
        <v>73</v>
      </c>
      <c r="B2780" s="21" t="s">
        <v>74</v>
      </c>
      <c r="C2780" s="15" t="str">
        <f>"20190119717"</f>
        <v>20190119717</v>
      </c>
      <c r="D2780" s="17">
        <v>62.5</v>
      </c>
      <c r="E2780" s="19"/>
    </row>
    <row r="2781" spans="1:4" ht="21.75" customHeight="1">
      <c r="A2781" s="20" t="s">
        <v>73</v>
      </c>
      <c r="B2781" s="21" t="s">
        <v>74</v>
      </c>
      <c r="C2781" s="15" t="str">
        <f>"20190119718"</f>
        <v>20190119718</v>
      </c>
      <c r="D2781" s="17">
        <v>60.5</v>
      </c>
    </row>
    <row r="2782" spans="1:4" ht="21.75" customHeight="1">
      <c r="A2782" s="20" t="s">
        <v>73</v>
      </c>
      <c r="B2782" s="21" t="s">
        <v>74</v>
      </c>
      <c r="C2782" s="15" t="str">
        <f>"20190119719"</f>
        <v>20190119719</v>
      </c>
      <c r="D2782" s="17">
        <v>53</v>
      </c>
    </row>
    <row r="2783" spans="1:4" ht="21.75" customHeight="1">
      <c r="A2783" s="20" t="s">
        <v>73</v>
      </c>
      <c r="B2783" s="21" t="s">
        <v>74</v>
      </c>
      <c r="C2783" s="15" t="str">
        <f>"20190119720"</f>
        <v>20190119720</v>
      </c>
      <c r="D2783" s="17">
        <v>59.5</v>
      </c>
    </row>
    <row r="2784" spans="1:4" ht="21.75" customHeight="1">
      <c r="A2784" s="20" t="s">
        <v>73</v>
      </c>
      <c r="B2784" s="21" t="s">
        <v>74</v>
      </c>
      <c r="C2784" s="15" t="str">
        <f>"20190119721"</f>
        <v>20190119721</v>
      </c>
      <c r="D2784" s="17">
        <v>64</v>
      </c>
    </row>
    <row r="2785" spans="1:4" ht="21.75" customHeight="1">
      <c r="A2785" s="20" t="s">
        <v>73</v>
      </c>
      <c r="B2785" s="21" t="s">
        <v>74</v>
      </c>
      <c r="C2785" s="15" t="str">
        <f>"20190119722"</f>
        <v>20190119722</v>
      </c>
      <c r="D2785" s="17">
        <v>58</v>
      </c>
    </row>
    <row r="2786" spans="1:4" ht="21.75" customHeight="1">
      <c r="A2786" s="20" t="s">
        <v>73</v>
      </c>
      <c r="B2786" s="21" t="s">
        <v>74</v>
      </c>
      <c r="C2786" s="15" t="str">
        <f>"20190119723"</f>
        <v>20190119723</v>
      </c>
      <c r="D2786" s="17">
        <v>48.5</v>
      </c>
    </row>
    <row r="2787" spans="1:4" ht="21.75" customHeight="1">
      <c r="A2787" s="20" t="s">
        <v>73</v>
      </c>
      <c r="B2787" s="21" t="s">
        <v>74</v>
      </c>
      <c r="C2787" s="15" t="str">
        <f>"20190119724"</f>
        <v>20190119724</v>
      </c>
      <c r="D2787" s="17">
        <v>62.5</v>
      </c>
    </row>
    <row r="2788" spans="1:4" ht="21.75" customHeight="1">
      <c r="A2788" s="20" t="s">
        <v>73</v>
      </c>
      <c r="B2788" s="21" t="s">
        <v>74</v>
      </c>
      <c r="C2788" s="15" t="str">
        <f>"20190119725"</f>
        <v>20190119725</v>
      </c>
      <c r="D2788" s="17">
        <v>67</v>
      </c>
    </row>
    <row r="2789" spans="1:4" ht="21.75" customHeight="1">
      <c r="A2789" s="20" t="s">
        <v>73</v>
      </c>
      <c r="B2789" s="21" t="s">
        <v>74</v>
      </c>
      <c r="C2789" s="15" t="str">
        <f>"20190119726"</f>
        <v>20190119726</v>
      </c>
      <c r="D2789" s="17">
        <v>59</v>
      </c>
    </row>
    <row r="2790" spans="1:4" ht="21.75" customHeight="1">
      <c r="A2790" s="20" t="s">
        <v>73</v>
      </c>
      <c r="B2790" s="21" t="s">
        <v>74</v>
      </c>
      <c r="C2790" s="15" t="str">
        <f>"20190119727"</f>
        <v>20190119727</v>
      </c>
      <c r="D2790" s="17">
        <v>61.5</v>
      </c>
    </row>
    <row r="2791" spans="1:4" ht="21.75" customHeight="1">
      <c r="A2791" s="20" t="s">
        <v>73</v>
      </c>
      <c r="B2791" s="21" t="s">
        <v>74</v>
      </c>
      <c r="C2791" s="15" t="str">
        <f>"20190119728"</f>
        <v>20190119728</v>
      </c>
      <c r="D2791" s="17">
        <v>61.5</v>
      </c>
    </row>
    <row r="2792" spans="1:4" ht="21.75" customHeight="1">
      <c r="A2792" s="20" t="s">
        <v>73</v>
      </c>
      <c r="B2792" s="21" t="s">
        <v>74</v>
      </c>
      <c r="C2792" s="15" t="str">
        <f>"20190119729"</f>
        <v>20190119729</v>
      </c>
      <c r="D2792" s="17">
        <v>63</v>
      </c>
    </row>
    <row r="2793" spans="1:4" ht="21.75" customHeight="1">
      <c r="A2793" s="20" t="s">
        <v>73</v>
      </c>
      <c r="B2793" s="21" t="s">
        <v>74</v>
      </c>
      <c r="C2793" s="15" t="str">
        <f>"20190119730"</f>
        <v>20190119730</v>
      </c>
      <c r="D2793" s="17" t="s">
        <v>12</v>
      </c>
    </row>
    <row r="2794" spans="1:4" ht="21.75" customHeight="1">
      <c r="A2794" s="20" t="s">
        <v>73</v>
      </c>
      <c r="B2794" s="21" t="s">
        <v>74</v>
      </c>
      <c r="C2794" s="15" t="str">
        <f>"20190119801"</f>
        <v>20190119801</v>
      </c>
      <c r="D2794" s="17">
        <v>57.5</v>
      </c>
    </row>
    <row r="2795" spans="1:4" ht="21.75" customHeight="1">
      <c r="A2795" s="20" t="s">
        <v>73</v>
      </c>
      <c r="B2795" s="21" t="s">
        <v>74</v>
      </c>
      <c r="C2795" s="15" t="str">
        <f>"20190119802"</f>
        <v>20190119802</v>
      </c>
      <c r="D2795" s="17">
        <v>59</v>
      </c>
    </row>
    <row r="2796" spans="1:4" ht="21.75" customHeight="1">
      <c r="A2796" s="20" t="s">
        <v>73</v>
      </c>
      <c r="B2796" s="21" t="s">
        <v>74</v>
      </c>
      <c r="C2796" s="15" t="str">
        <f>"20190119803"</f>
        <v>20190119803</v>
      </c>
      <c r="D2796" s="17" t="s">
        <v>12</v>
      </c>
    </row>
    <row r="2797" spans="1:4" ht="21.75" customHeight="1">
      <c r="A2797" s="20" t="s">
        <v>73</v>
      </c>
      <c r="B2797" s="21" t="s">
        <v>74</v>
      </c>
      <c r="C2797" s="15" t="str">
        <f>"20190119804"</f>
        <v>20190119804</v>
      </c>
      <c r="D2797" s="17" t="s">
        <v>12</v>
      </c>
    </row>
    <row r="2798" spans="1:4" ht="21.75" customHeight="1">
      <c r="A2798" s="20" t="s">
        <v>73</v>
      </c>
      <c r="B2798" s="21" t="s">
        <v>74</v>
      </c>
      <c r="C2798" s="15" t="str">
        <f>"20190119805"</f>
        <v>20190119805</v>
      </c>
      <c r="D2798" s="17" t="s">
        <v>12</v>
      </c>
    </row>
    <row r="2799" spans="1:4" ht="21.75" customHeight="1">
      <c r="A2799" s="20" t="s">
        <v>73</v>
      </c>
      <c r="B2799" s="21" t="s">
        <v>74</v>
      </c>
      <c r="C2799" s="15" t="str">
        <f>"20190119806"</f>
        <v>20190119806</v>
      </c>
      <c r="D2799" s="17">
        <v>52.5</v>
      </c>
    </row>
    <row r="2800" spans="1:4" ht="21.75" customHeight="1">
      <c r="A2800" s="15" t="s">
        <v>73</v>
      </c>
      <c r="B2800" s="16" t="s">
        <v>8</v>
      </c>
      <c r="C2800" s="15" t="str">
        <f>"20190119807"</f>
        <v>20190119807</v>
      </c>
      <c r="D2800" s="17">
        <v>62.5</v>
      </c>
    </row>
    <row r="2801" spans="1:4" ht="21.75" customHeight="1">
      <c r="A2801" s="15" t="s">
        <v>73</v>
      </c>
      <c r="B2801" s="16" t="s">
        <v>8</v>
      </c>
      <c r="C2801" s="15" t="str">
        <f>"20190119808"</f>
        <v>20190119808</v>
      </c>
      <c r="D2801" s="17">
        <v>68</v>
      </c>
    </row>
    <row r="2802" spans="1:4" ht="21.75" customHeight="1">
      <c r="A2802" s="15" t="s">
        <v>73</v>
      </c>
      <c r="B2802" s="16" t="s">
        <v>8</v>
      </c>
      <c r="C2802" s="15" t="str">
        <f>"20190119809"</f>
        <v>20190119809</v>
      </c>
      <c r="D2802" s="17">
        <v>59</v>
      </c>
    </row>
    <row r="2803" spans="1:4" ht="21.75" customHeight="1">
      <c r="A2803" s="15" t="s">
        <v>73</v>
      </c>
      <c r="B2803" s="16" t="s">
        <v>8</v>
      </c>
      <c r="C2803" s="15" t="str">
        <f>"20190119810"</f>
        <v>20190119810</v>
      </c>
      <c r="D2803" s="17">
        <v>60</v>
      </c>
    </row>
    <row r="2804" spans="1:4" ht="21.75" customHeight="1">
      <c r="A2804" s="15" t="s">
        <v>73</v>
      </c>
      <c r="B2804" s="16" t="s">
        <v>8</v>
      </c>
      <c r="C2804" s="15" t="str">
        <f>"20190119811"</f>
        <v>20190119811</v>
      </c>
      <c r="D2804" s="17" t="s">
        <v>12</v>
      </c>
    </row>
    <row r="2805" spans="1:4" ht="21.75" customHeight="1">
      <c r="A2805" s="15" t="s">
        <v>73</v>
      </c>
      <c r="B2805" s="16" t="s">
        <v>8</v>
      </c>
      <c r="C2805" s="15" t="str">
        <f>"20190119812"</f>
        <v>20190119812</v>
      </c>
      <c r="D2805" s="17">
        <v>67.5</v>
      </c>
    </row>
    <row r="2806" spans="1:4" ht="21.75" customHeight="1">
      <c r="A2806" s="15" t="s">
        <v>73</v>
      </c>
      <c r="B2806" s="16" t="s">
        <v>8</v>
      </c>
      <c r="C2806" s="15" t="str">
        <f>"20190119813"</f>
        <v>20190119813</v>
      </c>
      <c r="D2806" s="17">
        <v>58</v>
      </c>
    </row>
    <row r="2807" spans="1:4" ht="21.75" customHeight="1">
      <c r="A2807" s="15" t="s">
        <v>73</v>
      </c>
      <c r="B2807" s="16" t="s">
        <v>8</v>
      </c>
      <c r="C2807" s="15" t="str">
        <f>"20190119814"</f>
        <v>20190119814</v>
      </c>
      <c r="D2807" s="17">
        <v>64</v>
      </c>
    </row>
    <row r="2808" spans="1:5" ht="21.75" customHeight="1">
      <c r="A2808" s="15" t="s">
        <v>73</v>
      </c>
      <c r="B2808" s="16" t="s">
        <v>8</v>
      </c>
      <c r="C2808" s="15" t="str">
        <f>"20190119815"</f>
        <v>20190119815</v>
      </c>
      <c r="D2808" s="17">
        <v>69</v>
      </c>
      <c r="E2808" s="18" t="s">
        <v>9</v>
      </c>
    </row>
    <row r="2809" spans="1:4" ht="21.75" customHeight="1">
      <c r="A2809" s="15" t="s">
        <v>73</v>
      </c>
      <c r="B2809" s="16" t="s">
        <v>8</v>
      </c>
      <c r="C2809" s="15" t="str">
        <f>"20190119816"</f>
        <v>20190119816</v>
      </c>
      <c r="D2809" s="17">
        <v>66.5</v>
      </c>
    </row>
    <row r="2810" spans="1:4" ht="21.75" customHeight="1">
      <c r="A2810" s="15" t="s">
        <v>73</v>
      </c>
      <c r="B2810" s="16" t="s">
        <v>8</v>
      </c>
      <c r="C2810" s="15" t="str">
        <f>"20190119817"</f>
        <v>20190119817</v>
      </c>
      <c r="D2810" s="17">
        <v>59</v>
      </c>
    </row>
    <row r="2811" spans="1:4" ht="21.75" customHeight="1">
      <c r="A2811" s="15" t="s">
        <v>73</v>
      </c>
      <c r="B2811" s="16" t="s">
        <v>8</v>
      </c>
      <c r="C2811" s="15" t="str">
        <f>"20190119818"</f>
        <v>20190119818</v>
      </c>
      <c r="D2811" s="17">
        <v>64.5</v>
      </c>
    </row>
    <row r="2812" spans="1:5" ht="21.75" customHeight="1">
      <c r="A2812" s="15" t="s">
        <v>73</v>
      </c>
      <c r="B2812" s="16" t="s">
        <v>8</v>
      </c>
      <c r="C2812" s="15" t="str">
        <f>"20190119819"</f>
        <v>20190119819</v>
      </c>
      <c r="D2812" s="17">
        <v>69</v>
      </c>
      <c r="E2812" s="18" t="s">
        <v>9</v>
      </c>
    </row>
    <row r="2813" spans="1:5" ht="21.75" customHeight="1">
      <c r="A2813" s="15" t="s">
        <v>73</v>
      </c>
      <c r="B2813" s="16" t="s">
        <v>8</v>
      </c>
      <c r="C2813" s="15" t="str">
        <f>"20190119820"</f>
        <v>20190119820</v>
      </c>
      <c r="D2813" s="17">
        <v>68.5</v>
      </c>
      <c r="E2813" s="18" t="s">
        <v>9</v>
      </c>
    </row>
    <row r="2814" spans="1:4" ht="21.75" customHeight="1">
      <c r="A2814" s="15" t="s">
        <v>73</v>
      </c>
      <c r="B2814" s="16" t="s">
        <v>8</v>
      </c>
      <c r="C2814" s="15" t="str">
        <f>"20190119821"</f>
        <v>20190119821</v>
      </c>
      <c r="D2814" s="17" t="s">
        <v>12</v>
      </c>
    </row>
    <row r="2815" spans="1:4" ht="21.75" customHeight="1">
      <c r="A2815" s="15" t="s">
        <v>73</v>
      </c>
      <c r="B2815" s="16" t="s">
        <v>8</v>
      </c>
      <c r="C2815" s="15" t="str">
        <f>"20190119822"</f>
        <v>20190119822</v>
      </c>
      <c r="D2815" s="17" t="s">
        <v>12</v>
      </c>
    </row>
    <row r="2816" spans="1:4" ht="21.75" customHeight="1">
      <c r="A2816" s="15" t="s">
        <v>73</v>
      </c>
      <c r="B2816" s="16" t="s">
        <v>8</v>
      </c>
      <c r="C2816" s="15" t="str">
        <f>"20190119823"</f>
        <v>20190119823</v>
      </c>
      <c r="D2816" s="17">
        <v>61</v>
      </c>
    </row>
    <row r="2817" spans="1:4" ht="21.75" customHeight="1">
      <c r="A2817" s="15" t="s">
        <v>73</v>
      </c>
      <c r="B2817" s="16" t="s">
        <v>8</v>
      </c>
      <c r="C2817" s="15" t="str">
        <f>"20190119824"</f>
        <v>20190119824</v>
      </c>
      <c r="D2817" s="17">
        <v>59.5</v>
      </c>
    </row>
    <row r="2818" spans="1:4" ht="21.75" customHeight="1">
      <c r="A2818" s="15" t="s">
        <v>73</v>
      </c>
      <c r="B2818" s="16" t="s">
        <v>8</v>
      </c>
      <c r="C2818" s="15" t="str">
        <f>"20190119825"</f>
        <v>20190119825</v>
      </c>
      <c r="D2818" s="17">
        <v>63</v>
      </c>
    </row>
    <row r="2819" spans="1:4" ht="21.75" customHeight="1">
      <c r="A2819" s="15" t="s">
        <v>73</v>
      </c>
      <c r="B2819" s="16" t="s">
        <v>8</v>
      </c>
      <c r="C2819" s="15" t="str">
        <f>"20190119826"</f>
        <v>20190119826</v>
      </c>
      <c r="D2819" s="17">
        <v>66</v>
      </c>
    </row>
    <row r="2820" spans="1:4" ht="21.75" customHeight="1">
      <c r="A2820" s="15" t="s">
        <v>73</v>
      </c>
      <c r="B2820" s="16" t="s">
        <v>8</v>
      </c>
      <c r="C2820" s="15" t="str">
        <f>"20190119827"</f>
        <v>20190119827</v>
      </c>
      <c r="D2820" s="17">
        <v>59</v>
      </c>
    </row>
    <row r="2821" spans="1:5" ht="21.75" customHeight="1">
      <c r="A2821" s="15" t="s">
        <v>73</v>
      </c>
      <c r="B2821" s="16" t="s">
        <v>8</v>
      </c>
      <c r="C2821" s="15" t="str">
        <f>"20190119828"</f>
        <v>20190119828</v>
      </c>
      <c r="D2821" s="17">
        <v>68.5</v>
      </c>
      <c r="E2821" s="18" t="s">
        <v>9</v>
      </c>
    </row>
    <row r="2822" spans="1:4" ht="21.75" customHeight="1">
      <c r="A2822" s="15" t="s">
        <v>73</v>
      </c>
      <c r="B2822" s="16" t="s">
        <v>8</v>
      </c>
      <c r="C2822" s="15" t="str">
        <f>"20190119829"</f>
        <v>20190119829</v>
      </c>
      <c r="D2822" s="17">
        <v>68</v>
      </c>
    </row>
    <row r="2823" spans="1:4" ht="21.75" customHeight="1">
      <c r="A2823" s="15" t="s">
        <v>73</v>
      </c>
      <c r="B2823" s="16" t="s">
        <v>8</v>
      </c>
      <c r="C2823" s="15" t="str">
        <f>"20190119830"</f>
        <v>20190119830</v>
      </c>
      <c r="D2823" s="17">
        <v>67</v>
      </c>
    </row>
    <row r="2824" spans="1:4" ht="21.75" customHeight="1">
      <c r="A2824" s="15" t="s">
        <v>73</v>
      </c>
      <c r="B2824" s="16" t="s">
        <v>8</v>
      </c>
      <c r="C2824" s="15" t="str">
        <f>"20190119901"</f>
        <v>20190119901</v>
      </c>
      <c r="D2824" s="17">
        <v>59</v>
      </c>
    </row>
    <row r="2825" spans="1:4" ht="21.75" customHeight="1">
      <c r="A2825" s="15" t="s">
        <v>73</v>
      </c>
      <c r="B2825" s="16" t="s">
        <v>8</v>
      </c>
      <c r="C2825" s="15" t="str">
        <f>"20190119902"</f>
        <v>20190119902</v>
      </c>
      <c r="D2825" s="17">
        <v>62</v>
      </c>
    </row>
    <row r="2826" spans="1:4" ht="21.75" customHeight="1">
      <c r="A2826" s="15" t="s">
        <v>73</v>
      </c>
      <c r="B2826" s="16" t="s">
        <v>8</v>
      </c>
      <c r="C2826" s="15" t="str">
        <f>"20190119903"</f>
        <v>20190119903</v>
      </c>
      <c r="D2826" s="17">
        <v>57.5</v>
      </c>
    </row>
    <row r="2827" spans="1:5" ht="21.75" customHeight="1">
      <c r="A2827" s="15" t="s">
        <v>73</v>
      </c>
      <c r="B2827" s="16" t="s">
        <v>8</v>
      </c>
      <c r="C2827" s="15" t="str">
        <f>"20190119904"</f>
        <v>20190119904</v>
      </c>
      <c r="D2827" s="17">
        <v>54.5</v>
      </c>
      <c r="E2827" s="19"/>
    </row>
    <row r="2828" spans="1:5" ht="21.75" customHeight="1">
      <c r="A2828" s="15" t="s">
        <v>73</v>
      </c>
      <c r="B2828" s="16" t="s">
        <v>8</v>
      </c>
      <c r="C2828" s="15" t="str">
        <f>"20190119905"</f>
        <v>20190119905</v>
      </c>
      <c r="D2828" s="17">
        <v>60</v>
      </c>
      <c r="E2828" s="19"/>
    </row>
    <row r="2829" spans="1:5" ht="21.75" customHeight="1">
      <c r="A2829" s="15" t="s">
        <v>73</v>
      </c>
      <c r="B2829" s="16" t="s">
        <v>8</v>
      </c>
      <c r="C2829" s="15" t="str">
        <f>"20190119906"</f>
        <v>20190119906</v>
      </c>
      <c r="D2829" s="17">
        <v>57</v>
      </c>
      <c r="E2829" s="19"/>
    </row>
    <row r="2830" spans="1:4" ht="21.75" customHeight="1">
      <c r="A2830" s="15" t="s">
        <v>73</v>
      </c>
      <c r="B2830" s="16" t="s">
        <v>8</v>
      </c>
      <c r="C2830" s="15" t="str">
        <f>"20190119907"</f>
        <v>20190119907</v>
      </c>
      <c r="D2830" s="17">
        <v>60.5</v>
      </c>
    </row>
    <row r="2831" spans="1:4" ht="21.75" customHeight="1">
      <c r="A2831" s="15" t="s">
        <v>73</v>
      </c>
      <c r="B2831" s="16" t="s">
        <v>8</v>
      </c>
      <c r="C2831" s="15" t="str">
        <f>"20190119908"</f>
        <v>20190119908</v>
      </c>
      <c r="D2831" s="17">
        <v>56</v>
      </c>
    </row>
    <row r="2832" spans="1:4" ht="21.75" customHeight="1">
      <c r="A2832" s="15" t="s">
        <v>73</v>
      </c>
      <c r="B2832" s="16" t="s">
        <v>8</v>
      </c>
      <c r="C2832" s="15" t="str">
        <f>"20190119909"</f>
        <v>20190119909</v>
      </c>
      <c r="D2832" s="17">
        <v>55.5</v>
      </c>
    </row>
    <row r="2833" spans="1:4" ht="21.75" customHeight="1">
      <c r="A2833" s="15" t="s">
        <v>73</v>
      </c>
      <c r="B2833" s="16" t="s">
        <v>8</v>
      </c>
      <c r="C2833" s="15" t="str">
        <f>"20190119910"</f>
        <v>20190119910</v>
      </c>
      <c r="D2833" s="17">
        <v>48</v>
      </c>
    </row>
    <row r="2834" spans="1:4" ht="21.75" customHeight="1">
      <c r="A2834" s="15" t="s">
        <v>73</v>
      </c>
      <c r="B2834" s="16" t="s">
        <v>8</v>
      </c>
      <c r="C2834" s="15" t="str">
        <f>"20190119911"</f>
        <v>20190119911</v>
      </c>
      <c r="D2834" s="17">
        <v>54</v>
      </c>
    </row>
    <row r="2835" spans="1:4" ht="21.75" customHeight="1">
      <c r="A2835" s="15" t="s">
        <v>73</v>
      </c>
      <c r="B2835" s="16" t="s">
        <v>8</v>
      </c>
      <c r="C2835" s="15" t="str">
        <f>"20190119912"</f>
        <v>20190119912</v>
      </c>
      <c r="D2835" s="17" t="s">
        <v>12</v>
      </c>
    </row>
    <row r="2836" spans="1:4" ht="21.75" customHeight="1">
      <c r="A2836" s="15" t="s">
        <v>73</v>
      </c>
      <c r="B2836" s="16" t="s">
        <v>8</v>
      </c>
      <c r="C2836" s="15" t="str">
        <f>"20190119913"</f>
        <v>20190119913</v>
      </c>
      <c r="D2836" s="17">
        <v>60.5</v>
      </c>
    </row>
    <row r="2837" spans="1:4" ht="21.75" customHeight="1">
      <c r="A2837" s="15" t="s">
        <v>73</v>
      </c>
      <c r="B2837" s="16" t="s">
        <v>8</v>
      </c>
      <c r="C2837" s="15" t="str">
        <f>"20190119914"</f>
        <v>20190119914</v>
      </c>
      <c r="D2837" s="17" t="s">
        <v>12</v>
      </c>
    </row>
    <row r="2838" spans="1:4" ht="21.75" customHeight="1">
      <c r="A2838" s="15" t="s">
        <v>73</v>
      </c>
      <c r="B2838" s="16" t="s">
        <v>8</v>
      </c>
      <c r="C2838" s="15" t="str">
        <f>"20190119915"</f>
        <v>20190119915</v>
      </c>
      <c r="D2838" s="17">
        <v>61</v>
      </c>
    </row>
    <row r="2839" spans="1:4" ht="21.75" customHeight="1">
      <c r="A2839" s="15" t="s">
        <v>73</v>
      </c>
      <c r="B2839" s="16" t="s">
        <v>8</v>
      </c>
      <c r="C2839" s="15" t="str">
        <f>"20190119916"</f>
        <v>20190119916</v>
      </c>
      <c r="D2839" s="17">
        <v>54</v>
      </c>
    </row>
    <row r="2840" spans="1:4" ht="21.75" customHeight="1">
      <c r="A2840" s="15" t="s">
        <v>73</v>
      </c>
      <c r="B2840" s="16" t="s">
        <v>8</v>
      </c>
      <c r="C2840" s="15" t="str">
        <f>"20190119917"</f>
        <v>20190119917</v>
      </c>
      <c r="D2840" s="17">
        <v>58</v>
      </c>
    </row>
    <row r="2841" spans="1:4" ht="21.75" customHeight="1">
      <c r="A2841" s="15" t="s">
        <v>73</v>
      </c>
      <c r="B2841" s="16" t="s">
        <v>8</v>
      </c>
      <c r="C2841" s="15" t="str">
        <f>"20190119918"</f>
        <v>20190119918</v>
      </c>
      <c r="D2841" s="17">
        <v>46.5</v>
      </c>
    </row>
    <row r="2842" spans="1:4" ht="21.75" customHeight="1">
      <c r="A2842" s="15" t="s">
        <v>73</v>
      </c>
      <c r="B2842" s="16" t="s">
        <v>8</v>
      </c>
      <c r="C2842" s="15" t="str">
        <f>"20190119919"</f>
        <v>20190119919</v>
      </c>
      <c r="D2842" s="17">
        <v>58</v>
      </c>
    </row>
    <row r="2843" spans="1:4" ht="21.75" customHeight="1">
      <c r="A2843" s="15" t="s">
        <v>73</v>
      </c>
      <c r="B2843" s="16" t="s">
        <v>8</v>
      </c>
      <c r="C2843" s="15" t="str">
        <f>"20190119920"</f>
        <v>20190119920</v>
      </c>
      <c r="D2843" s="17">
        <v>62.5</v>
      </c>
    </row>
    <row r="2844" spans="1:4" ht="21.75" customHeight="1">
      <c r="A2844" s="15" t="s">
        <v>73</v>
      </c>
      <c r="B2844" s="16" t="s">
        <v>8</v>
      </c>
      <c r="C2844" s="15" t="str">
        <f>"20190119921"</f>
        <v>20190119921</v>
      </c>
      <c r="D2844" s="17">
        <v>61</v>
      </c>
    </row>
    <row r="2845" spans="1:4" ht="21.75" customHeight="1">
      <c r="A2845" s="15" t="s">
        <v>73</v>
      </c>
      <c r="B2845" s="16" t="s">
        <v>8</v>
      </c>
      <c r="C2845" s="15" t="str">
        <f>"20190119922"</f>
        <v>20190119922</v>
      </c>
      <c r="D2845" s="17">
        <v>64</v>
      </c>
    </row>
    <row r="2846" spans="1:4" ht="21.75" customHeight="1">
      <c r="A2846" s="15" t="s">
        <v>73</v>
      </c>
      <c r="B2846" s="16" t="s">
        <v>8</v>
      </c>
      <c r="C2846" s="15" t="str">
        <f>"20190119923"</f>
        <v>20190119923</v>
      </c>
      <c r="D2846" s="17">
        <v>56.5</v>
      </c>
    </row>
    <row r="2847" spans="1:4" ht="21.75" customHeight="1">
      <c r="A2847" s="15" t="s">
        <v>73</v>
      </c>
      <c r="B2847" s="16" t="s">
        <v>8</v>
      </c>
      <c r="C2847" s="15" t="str">
        <f>"20190119924"</f>
        <v>20190119924</v>
      </c>
      <c r="D2847" s="17">
        <v>58</v>
      </c>
    </row>
    <row r="2848" spans="1:4" ht="21.75" customHeight="1">
      <c r="A2848" s="15" t="s">
        <v>73</v>
      </c>
      <c r="B2848" s="16" t="s">
        <v>8</v>
      </c>
      <c r="C2848" s="15" t="str">
        <f>"20190119925"</f>
        <v>20190119925</v>
      </c>
      <c r="D2848" s="17">
        <v>62.5</v>
      </c>
    </row>
    <row r="2849" spans="1:4" ht="21.75" customHeight="1">
      <c r="A2849" s="15" t="s">
        <v>73</v>
      </c>
      <c r="B2849" s="16" t="s">
        <v>8</v>
      </c>
      <c r="C2849" s="15" t="str">
        <f>"20190119926"</f>
        <v>20190119926</v>
      </c>
      <c r="D2849" s="17">
        <v>58</v>
      </c>
    </row>
    <row r="2850" spans="1:4" ht="21.75" customHeight="1">
      <c r="A2850" s="15" t="s">
        <v>73</v>
      </c>
      <c r="B2850" s="16" t="s">
        <v>8</v>
      </c>
      <c r="C2850" s="15" t="str">
        <f>"20190119927"</f>
        <v>20190119927</v>
      </c>
      <c r="D2850" s="17" t="s">
        <v>12</v>
      </c>
    </row>
    <row r="2851" spans="1:5" ht="21.75" customHeight="1">
      <c r="A2851" s="15" t="s">
        <v>73</v>
      </c>
      <c r="B2851" s="16" t="s">
        <v>8</v>
      </c>
      <c r="C2851" s="15" t="str">
        <f>"20190119928"</f>
        <v>20190119928</v>
      </c>
      <c r="D2851" s="17">
        <v>58</v>
      </c>
      <c r="E2851" s="19"/>
    </row>
    <row r="2852" spans="1:5" ht="21.75" customHeight="1">
      <c r="A2852" s="15" t="s">
        <v>73</v>
      </c>
      <c r="B2852" s="16" t="s">
        <v>8</v>
      </c>
      <c r="C2852" s="15" t="str">
        <f>"20190119929"</f>
        <v>20190119929</v>
      </c>
      <c r="D2852" s="17">
        <v>50.5</v>
      </c>
      <c r="E2852" s="19"/>
    </row>
    <row r="2853" spans="1:5" ht="21.75" customHeight="1">
      <c r="A2853" s="15" t="s">
        <v>73</v>
      </c>
      <c r="B2853" s="16" t="s">
        <v>8</v>
      </c>
      <c r="C2853" s="15" t="str">
        <f>"20190119930"</f>
        <v>20190119930</v>
      </c>
      <c r="D2853" s="17" t="s">
        <v>12</v>
      </c>
      <c r="E2853" s="19"/>
    </row>
    <row r="2854" spans="1:4" ht="21.75" customHeight="1">
      <c r="A2854" s="15" t="s">
        <v>73</v>
      </c>
      <c r="B2854" s="16" t="s">
        <v>8</v>
      </c>
      <c r="C2854" s="15" t="str">
        <f>"20190120001"</f>
        <v>20190120001</v>
      </c>
      <c r="D2854" s="17">
        <v>57.5</v>
      </c>
    </row>
    <row r="2855" spans="1:4" ht="21.75" customHeight="1">
      <c r="A2855" s="15" t="s">
        <v>73</v>
      </c>
      <c r="B2855" s="16" t="s">
        <v>8</v>
      </c>
      <c r="C2855" s="15" t="str">
        <f>"20190120002"</f>
        <v>20190120002</v>
      </c>
      <c r="D2855" s="17">
        <v>62</v>
      </c>
    </row>
    <row r="2856" spans="1:4" ht="21.75" customHeight="1">
      <c r="A2856" s="15" t="s">
        <v>73</v>
      </c>
      <c r="B2856" s="16" t="s">
        <v>8</v>
      </c>
      <c r="C2856" s="15" t="str">
        <f>"20190120003"</f>
        <v>20190120003</v>
      </c>
      <c r="D2856" s="17">
        <v>64.5</v>
      </c>
    </row>
    <row r="2857" spans="1:4" ht="21.75" customHeight="1">
      <c r="A2857" s="15" t="s">
        <v>73</v>
      </c>
      <c r="B2857" s="16" t="s">
        <v>8</v>
      </c>
      <c r="C2857" s="15" t="str">
        <f>"20190120004"</f>
        <v>20190120004</v>
      </c>
      <c r="D2857" s="17">
        <v>58.5</v>
      </c>
    </row>
    <row r="2858" spans="1:4" ht="21.75" customHeight="1">
      <c r="A2858" s="15" t="s">
        <v>73</v>
      </c>
      <c r="B2858" s="16" t="s">
        <v>8</v>
      </c>
      <c r="C2858" s="15" t="str">
        <f>"20190120005"</f>
        <v>20190120005</v>
      </c>
      <c r="D2858" s="17">
        <v>56.5</v>
      </c>
    </row>
    <row r="2859" spans="1:4" ht="21.75" customHeight="1">
      <c r="A2859" s="15" t="s">
        <v>73</v>
      </c>
      <c r="B2859" s="16" t="s">
        <v>8</v>
      </c>
      <c r="C2859" s="15" t="str">
        <f>"20190120006"</f>
        <v>20190120006</v>
      </c>
      <c r="D2859" s="17" t="s">
        <v>12</v>
      </c>
    </row>
    <row r="2860" spans="1:4" ht="21.75" customHeight="1">
      <c r="A2860" s="15" t="s">
        <v>73</v>
      </c>
      <c r="B2860" s="16" t="s">
        <v>8</v>
      </c>
      <c r="C2860" s="15" t="str">
        <f>"20190120007"</f>
        <v>20190120007</v>
      </c>
      <c r="D2860" s="17">
        <v>52</v>
      </c>
    </row>
    <row r="2861" spans="1:4" ht="21.75" customHeight="1">
      <c r="A2861" s="15" t="s">
        <v>73</v>
      </c>
      <c r="B2861" s="16" t="s">
        <v>8</v>
      </c>
      <c r="C2861" s="15" t="str">
        <f>"20190120008"</f>
        <v>20190120008</v>
      </c>
      <c r="D2861" s="17">
        <v>53.5</v>
      </c>
    </row>
    <row r="2862" spans="1:4" ht="21.75" customHeight="1">
      <c r="A2862" s="20" t="s">
        <v>73</v>
      </c>
      <c r="B2862" s="21" t="s">
        <v>57</v>
      </c>
      <c r="C2862" s="15" t="str">
        <f>"20190120009"</f>
        <v>20190120009</v>
      </c>
      <c r="D2862" s="17">
        <v>63.5</v>
      </c>
    </row>
    <row r="2863" spans="1:4" ht="21.75" customHeight="1">
      <c r="A2863" s="20" t="s">
        <v>73</v>
      </c>
      <c r="B2863" s="21" t="s">
        <v>57</v>
      </c>
      <c r="C2863" s="15" t="str">
        <f>"20190120010"</f>
        <v>20190120010</v>
      </c>
      <c r="D2863" s="17">
        <v>57.5</v>
      </c>
    </row>
    <row r="2864" spans="1:5" ht="21.75" customHeight="1">
      <c r="A2864" s="20" t="s">
        <v>73</v>
      </c>
      <c r="B2864" s="21" t="s">
        <v>57</v>
      </c>
      <c r="C2864" s="15" t="str">
        <f>"20190120011"</f>
        <v>20190120011</v>
      </c>
      <c r="D2864" s="17">
        <v>70.5</v>
      </c>
      <c r="E2864" s="18" t="s">
        <v>9</v>
      </c>
    </row>
    <row r="2865" spans="1:4" ht="21.75" customHeight="1">
      <c r="A2865" s="20" t="s">
        <v>73</v>
      </c>
      <c r="B2865" s="21" t="s">
        <v>57</v>
      </c>
      <c r="C2865" s="15" t="str">
        <f>"20190120012"</f>
        <v>20190120012</v>
      </c>
      <c r="D2865" s="17" t="s">
        <v>12</v>
      </c>
    </row>
    <row r="2866" spans="1:5" ht="21.75" customHeight="1">
      <c r="A2866" s="20" t="s">
        <v>73</v>
      </c>
      <c r="B2866" s="21" t="s">
        <v>57</v>
      </c>
      <c r="C2866" s="15" t="str">
        <f>"20190120013"</f>
        <v>20190120013</v>
      </c>
      <c r="D2866" s="17">
        <v>71</v>
      </c>
      <c r="E2866" s="18" t="s">
        <v>9</v>
      </c>
    </row>
    <row r="2867" spans="1:4" ht="21.75" customHeight="1">
      <c r="A2867" s="20" t="s">
        <v>73</v>
      </c>
      <c r="B2867" s="21" t="s">
        <v>57</v>
      </c>
      <c r="C2867" s="15" t="str">
        <f>"20190120014"</f>
        <v>20190120014</v>
      </c>
      <c r="D2867" s="17" t="s">
        <v>12</v>
      </c>
    </row>
    <row r="2868" spans="1:4" ht="21.75" customHeight="1">
      <c r="A2868" s="20" t="s">
        <v>73</v>
      </c>
      <c r="B2868" s="21" t="s">
        <v>57</v>
      </c>
      <c r="C2868" s="15" t="str">
        <f>"20190120015"</f>
        <v>20190120015</v>
      </c>
      <c r="D2868" s="17">
        <v>68</v>
      </c>
    </row>
    <row r="2869" spans="1:4" ht="21.75" customHeight="1">
      <c r="A2869" s="20" t="s">
        <v>73</v>
      </c>
      <c r="B2869" s="21" t="s">
        <v>57</v>
      </c>
      <c r="C2869" s="15" t="str">
        <f>"20190120016"</f>
        <v>20190120016</v>
      </c>
      <c r="D2869" s="17">
        <v>54.5</v>
      </c>
    </row>
    <row r="2870" spans="1:4" ht="21.75" customHeight="1">
      <c r="A2870" s="20" t="s">
        <v>73</v>
      </c>
      <c r="B2870" s="21" t="s">
        <v>57</v>
      </c>
      <c r="C2870" s="15" t="str">
        <f>"20190120017"</f>
        <v>20190120017</v>
      </c>
      <c r="D2870" s="17">
        <v>61</v>
      </c>
    </row>
    <row r="2871" spans="1:4" ht="21.75" customHeight="1">
      <c r="A2871" s="20" t="s">
        <v>73</v>
      </c>
      <c r="B2871" s="21" t="s">
        <v>57</v>
      </c>
      <c r="C2871" s="15" t="str">
        <f>"20190120018"</f>
        <v>20190120018</v>
      </c>
      <c r="D2871" s="17">
        <v>69</v>
      </c>
    </row>
    <row r="2872" spans="1:5" ht="21.75" customHeight="1">
      <c r="A2872" s="20" t="s">
        <v>73</v>
      </c>
      <c r="B2872" s="21" t="s">
        <v>57</v>
      </c>
      <c r="C2872" s="15" t="str">
        <f>"20190120019"</f>
        <v>20190120019</v>
      </c>
      <c r="D2872" s="17">
        <v>70</v>
      </c>
      <c r="E2872" s="18" t="s">
        <v>9</v>
      </c>
    </row>
    <row r="2873" spans="1:5" ht="21.75" customHeight="1">
      <c r="A2873" s="20" t="s">
        <v>73</v>
      </c>
      <c r="B2873" s="21" t="s">
        <v>57</v>
      </c>
      <c r="C2873" s="15" t="str">
        <f>"20190120020"</f>
        <v>20190120020</v>
      </c>
      <c r="D2873" s="17">
        <v>59</v>
      </c>
      <c r="E2873" s="19"/>
    </row>
    <row r="2874" spans="1:5" ht="21.75" customHeight="1">
      <c r="A2874" s="20" t="s">
        <v>73</v>
      </c>
      <c r="B2874" s="21" t="s">
        <v>57</v>
      </c>
      <c r="C2874" s="15" t="str">
        <f>"20190120021"</f>
        <v>20190120021</v>
      </c>
      <c r="D2874" s="17">
        <v>65.5</v>
      </c>
      <c r="E2874" s="19"/>
    </row>
    <row r="2875" spans="1:5" ht="21.75" customHeight="1">
      <c r="A2875" s="15" t="s">
        <v>75</v>
      </c>
      <c r="B2875" s="16" t="s">
        <v>76</v>
      </c>
      <c r="C2875" s="15" t="str">
        <f>"20190120022"</f>
        <v>20190120022</v>
      </c>
      <c r="D2875" s="17" t="s">
        <v>12</v>
      </c>
      <c r="E2875" s="19"/>
    </row>
    <row r="2876" spans="1:4" ht="21.75" customHeight="1">
      <c r="A2876" s="15" t="s">
        <v>75</v>
      </c>
      <c r="B2876" s="16" t="s">
        <v>76</v>
      </c>
      <c r="C2876" s="15" t="str">
        <f>"20190120023"</f>
        <v>20190120023</v>
      </c>
      <c r="D2876" s="17" t="s">
        <v>12</v>
      </c>
    </row>
    <row r="2877" spans="1:4" ht="21.75" customHeight="1">
      <c r="A2877" s="15" t="s">
        <v>75</v>
      </c>
      <c r="B2877" s="16" t="s">
        <v>76</v>
      </c>
      <c r="C2877" s="15" t="str">
        <f>"20190120024"</f>
        <v>20190120024</v>
      </c>
      <c r="D2877" s="17">
        <v>64</v>
      </c>
    </row>
    <row r="2878" spans="1:4" ht="21.75" customHeight="1">
      <c r="A2878" s="15" t="s">
        <v>75</v>
      </c>
      <c r="B2878" s="16" t="s">
        <v>76</v>
      </c>
      <c r="C2878" s="15" t="str">
        <f>"20190120025"</f>
        <v>20190120025</v>
      </c>
      <c r="D2878" s="17">
        <v>65</v>
      </c>
    </row>
    <row r="2879" spans="1:4" ht="21.75" customHeight="1">
      <c r="A2879" s="15" t="s">
        <v>75</v>
      </c>
      <c r="B2879" s="16" t="s">
        <v>76</v>
      </c>
      <c r="C2879" s="15" t="str">
        <f>"20190120026"</f>
        <v>20190120026</v>
      </c>
      <c r="D2879" s="17">
        <v>63</v>
      </c>
    </row>
    <row r="2880" spans="1:4" ht="21.75" customHeight="1">
      <c r="A2880" s="15" t="s">
        <v>75</v>
      </c>
      <c r="B2880" s="16" t="s">
        <v>76</v>
      </c>
      <c r="C2880" s="15" t="str">
        <f>"20190120027"</f>
        <v>20190120027</v>
      </c>
      <c r="D2880" s="17">
        <v>46.5</v>
      </c>
    </row>
    <row r="2881" spans="1:4" ht="21.75" customHeight="1">
      <c r="A2881" s="15" t="s">
        <v>75</v>
      </c>
      <c r="B2881" s="16" t="s">
        <v>76</v>
      </c>
      <c r="C2881" s="15" t="str">
        <f>"20190120028"</f>
        <v>20190120028</v>
      </c>
      <c r="D2881" s="17">
        <v>64</v>
      </c>
    </row>
    <row r="2882" spans="1:4" ht="21.75" customHeight="1">
      <c r="A2882" s="15" t="s">
        <v>75</v>
      </c>
      <c r="B2882" s="16" t="s">
        <v>76</v>
      </c>
      <c r="C2882" s="15" t="str">
        <f>"20190120029"</f>
        <v>20190120029</v>
      </c>
      <c r="D2882" s="17">
        <v>60</v>
      </c>
    </row>
    <row r="2883" spans="1:4" ht="21.75" customHeight="1">
      <c r="A2883" s="15" t="s">
        <v>75</v>
      </c>
      <c r="B2883" s="16" t="s">
        <v>76</v>
      </c>
      <c r="C2883" s="15" t="str">
        <f>"20190120030"</f>
        <v>20190120030</v>
      </c>
      <c r="D2883" s="17">
        <v>65.5</v>
      </c>
    </row>
    <row r="2884" spans="1:4" ht="21.75" customHeight="1">
      <c r="A2884" s="15" t="s">
        <v>75</v>
      </c>
      <c r="B2884" s="16" t="s">
        <v>76</v>
      </c>
      <c r="C2884" s="15" t="str">
        <f>"20190120101"</f>
        <v>20190120101</v>
      </c>
      <c r="D2884" s="17">
        <v>59.5</v>
      </c>
    </row>
    <row r="2885" spans="1:4" ht="21.75" customHeight="1">
      <c r="A2885" s="15" t="s">
        <v>75</v>
      </c>
      <c r="B2885" s="16" t="s">
        <v>76</v>
      </c>
      <c r="C2885" s="15" t="str">
        <f>"20190120102"</f>
        <v>20190120102</v>
      </c>
      <c r="D2885" s="17">
        <v>54.5</v>
      </c>
    </row>
    <row r="2886" spans="1:4" ht="21.75" customHeight="1">
      <c r="A2886" s="15" t="s">
        <v>75</v>
      </c>
      <c r="B2886" s="16" t="s">
        <v>76</v>
      </c>
      <c r="C2886" s="15" t="str">
        <f>"20190120103"</f>
        <v>20190120103</v>
      </c>
      <c r="D2886" s="17" t="s">
        <v>12</v>
      </c>
    </row>
    <row r="2887" spans="1:4" ht="21.75" customHeight="1">
      <c r="A2887" s="15" t="s">
        <v>75</v>
      </c>
      <c r="B2887" s="16" t="s">
        <v>76</v>
      </c>
      <c r="C2887" s="15" t="str">
        <f>"20190120104"</f>
        <v>20190120104</v>
      </c>
      <c r="D2887" s="17">
        <v>51</v>
      </c>
    </row>
    <row r="2888" spans="1:4" ht="21.75" customHeight="1">
      <c r="A2888" s="15" t="s">
        <v>75</v>
      </c>
      <c r="B2888" s="16" t="s">
        <v>76</v>
      </c>
      <c r="C2888" s="15" t="str">
        <f>"20190120105"</f>
        <v>20190120105</v>
      </c>
      <c r="D2888" s="17">
        <v>67.5</v>
      </c>
    </row>
    <row r="2889" spans="1:4" ht="21.75" customHeight="1">
      <c r="A2889" s="15" t="s">
        <v>75</v>
      </c>
      <c r="B2889" s="16" t="s">
        <v>76</v>
      </c>
      <c r="C2889" s="15" t="str">
        <f>"20190120106"</f>
        <v>20190120106</v>
      </c>
      <c r="D2889" s="17">
        <v>51</v>
      </c>
    </row>
    <row r="2890" spans="1:4" ht="21.75" customHeight="1">
      <c r="A2890" s="15" t="s">
        <v>75</v>
      </c>
      <c r="B2890" s="16" t="s">
        <v>76</v>
      </c>
      <c r="C2890" s="15" t="str">
        <f>"20190120107"</f>
        <v>20190120107</v>
      </c>
      <c r="D2890" s="17">
        <v>68</v>
      </c>
    </row>
    <row r="2891" spans="1:4" ht="21.75" customHeight="1">
      <c r="A2891" s="15" t="s">
        <v>75</v>
      </c>
      <c r="B2891" s="16" t="s">
        <v>76</v>
      </c>
      <c r="C2891" s="15" t="str">
        <f>"20190120108"</f>
        <v>20190120108</v>
      </c>
      <c r="D2891" s="17" t="s">
        <v>12</v>
      </c>
    </row>
    <row r="2892" spans="1:5" ht="21.75" customHeight="1">
      <c r="A2892" s="15" t="s">
        <v>75</v>
      </c>
      <c r="B2892" s="16" t="s">
        <v>76</v>
      </c>
      <c r="C2892" s="15" t="str">
        <f>"20190120109"</f>
        <v>20190120109</v>
      </c>
      <c r="D2892" s="17">
        <v>72.5</v>
      </c>
      <c r="E2892" s="18" t="s">
        <v>9</v>
      </c>
    </row>
    <row r="2893" spans="1:4" ht="21.75" customHeight="1">
      <c r="A2893" s="15" t="s">
        <v>75</v>
      </c>
      <c r="B2893" s="16" t="s">
        <v>76</v>
      </c>
      <c r="C2893" s="15" t="str">
        <f>"20190120110"</f>
        <v>20190120110</v>
      </c>
      <c r="D2893" s="17">
        <v>64</v>
      </c>
    </row>
    <row r="2894" spans="1:4" ht="21.75" customHeight="1">
      <c r="A2894" s="15" t="s">
        <v>75</v>
      </c>
      <c r="B2894" s="16" t="s">
        <v>76</v>
      </c>
      <c r="C2894" s="15" t="str">
        <f>"20190120111"</f>
        <v>20190120111</v>
      </c>
      <c r="D2894" s="17">
        <v>44.5</v>
      </c>
    </row>
    <row r="2895" spans="1:4" ht="21.75" customHeight="1">
      <c r="A2895" s="15" t="s">
        <v>75</v>
      </c>
      <c r="B2895" s="16" t="s">
        <v>76</v>
      </c>
      <c r="C2895" s="15" t="str">
        <f>"20190120112"</f>
        <v>20190120112</v>
      </c>
      <c r="D2895" s="17">
        <v>56</v>
      </c>
    </row>
    <row r="2896" spans="1:4" ht="21.75" customHeight="1">
      <c r="A2896" s="15" t="s">
        <v>75</v>
      </c>
      <c r="B2896" s="16" t="s">
        <v>76</v>
      </c>
      <c r="C2896" s="15" t="str">
        <f>"20190120113"</f>
        <v>20190120113</v>
      </c>
      <c r="D2896" s="17">
        <v>53</v>
      </c>
    </row>
    <row r="2897" spans="1:4" ht="21.75" customHeight="1">
      <c r="A2897" s="15" t="s">
        <v>75</v>
      </c>
      <c r="B2897" s="16" t="s">
        <v>76</v>
      </c>
      <c r="C2897" s="15" t="str">
        <f>"20190120114"</f>
        <v>20190120114</v>
      </c>
      <c r="D2897" s="17">
        <v>65.5</v>
      </c>
    </row>
    <row r="2898" spans="1:4" ht="21.75" customHeight="1">
      <c r="A2898" s="15" t="s">
        <v>75</v>
      </c>
      <c r="B2898" s="16" t="s">
        <v>76</v>
      </c>
      <c r="C2898" s="15" t="str">
        <f>"20190120115"</f>
        <v>20190120115</v>
      </c>
      <c r="D2898" s="17">
        <v>52.5</v>
      </c>
    </row>
    <row r="2899" spans="1:4" ht="21.75" customHeight="1">
      <c r="A2899" s="15" t="s">
        <v>75</v>
      </c>
      <c r="B2899" s="16" t="s">
        <v>76</v>
      </c>
      <c r="C2899" s="15" t="str">
        <f>"20190120116"</f>
        <v>20190120116</v>
      </c>
      <c r="D2899" s="17" t="s">
        <v>12</v>
      </c>
    </row>
    <row r="2900" spans="1:4" ht="21.75" customHeight="1">
      <c r="A2900" s="15" t="s">
        <v>75</v>
      </c>
      <c r="B2900" s="16" t="s">
        <v>76</v>
      </c>
      <c r="C2900" s="15" t="str">
        <f>"20190120117"</f>
        <v>20190120117</v>
      </c>
      <c r="D2900" s="17">
        <v>46.5</v>
      </c>
    </row>
    <row r="2901" spans="1:4" ht="21.75" customHeight="1">
      <c r="A2901" s="15" t="s">
        <v>75</v>
      </c>
      <c r="B2901" s="16" t="s">
        <v>76</v>
      </c>
      <c r="C2901" s="15" t="str">
        <f>"20190120118"</f>
        <v>20190120118</v>
      </c>
      <c r="D2901" s="17">
        <v>69</v>
      </c>
    </row>
    <row r="2902" spans="1:4" ht="21.75" customHeight="1">
      <c r="A2902" s="15" t="s">
        <v>75</v>
      </c>
      <c r="B2902" s="16" t="s">
        <v>76</v>
      </c>
      <c r="C2902" s="15" t="str">
        <f>"20190120119"</f>
        <v>20190120119</v>
      </c>
      <c r="D2902" s="17">
        <v>62</v>
      </c>
    </row>
    <row r="2903" spans="1:4" ht="21.75" customHeight="1">
      <c r="A2903" s="15" t="s">
        <v>75</v>
      </c>
      <c r="B2903" s="16" t="s">
        <v>76</v>
      </c>
      <c r="C2903" s="15" t="str">
        <f>"20190120120"</f>
        <v>20190120120</v>
      </c>
      <c r="D2903" s="17" t="s">
        <v>12</v>
      </c>
    </row>
    <row r="2904" spans="1:4" ht="21.75" customHeight="1">
      <c r="A2904" s="15" t="s">
        <v>75</v>
      </c>
      <c r="B2904" s="16" t="s">
        <v>76</v>
      </c>
      <c r="C2904" s="15" t="str">
        <f>"20190120121"</f>
        <v>20190120121</v>
      </c>
      <c r="D2904" s="17" t="s">
        <v>12</v>
      </c>
    </row>
    <row r="2905" spans="1:4" ht="21.75" customHeight="1">
      <c r="A2905" s="15" t="s">
        <v>75</v>
      </c>
      <c r="B2905" s="16" t="s">
        <v>76</v>
      </c>
      <c r="C2905" s="15" t="str">
        <f>"20190120122"</f>
        <v>20190120122</v>
      </c>
      <c r="D2905" s="17">
        <v>63</v>
      </c>
    </row>
    <row r="2906" spans="1:4" ht="21.75" customHeight="1">
      <c r="A2906" s="15" t="s">
        <v>75</v>
      </c>
      <c r="B2906" s="16" t="s">
        <v>76</v>
      </c>
      <c r="C2906" s="15" t="str">
        <f>"20190120123"</f>
        <v>20190120123</v>
      </c>
      <c r="D2906" s="17" t="s">
        <v>12</v>
      </c>
    </row>
    <row r="2907" spans="1:4" ht="21.75" customHeight="1">
      <c r="A2907" s="15" t="s">
        <v>75</v>
      </c>
      <c r="B2907" s="16" t="s">
        <v>76</v>
      </c>
      <c r="C2907" s="15" t="str">
        <f>"20190120124"</f>
        <v>20190120124</v>
      </c>
      <c r="D2907" s="17">
        <v>61.5</v>
      </c>
    </row>
    <row r="2908" spans="1:4" ht="21.75" customHeight="1">
      <c r="A2908" s="15" t="s">
        <v>75</v>
      </c>
      <c r="B2908" s="16" t="s">
        <v>76</v>
      </c>
      <c r="C2908" s="15" t="str">
        <f>"20190120125"</f>
        <v>20190120125</v>
      </c>
      <c r="D2908" s="17">
        <v>64</v>
      </c>
    </row>
    <row r="2909" spans="1:4" ht="21.75" customHeight="1">
      <c r="A2909" s="15" t="s">
        <v>75</v>
      </c>
      <c r="B2909" s="16" t="s">
        <v>76</v>
      </c>
      <c r="C2909" s="15" t="str">
        <f>"20190120126"</f>
        <v>20190120126</v>
      </c>
      <c r="D2909" s="17">
        <v>62</v>
      </c>
    </row>
    <row r="2910" spans="1:4" ht="21.75" customHeight="1">
      <c r="A2910" s="15" t="s">
        <v>75</v>
      </c>
      <c r="B2910" s="16" t="s">
        <v>76</v>
      </c>
      <c r="C2910" s="15" t="str">
        <f>"20190120127"</f>
        <v>20190120127</v>
      </c>
      <c r="D2910" s="17">
        <v>66</v>
      </c>
    </row>
    <row r="2911" spans="1:4" ht="21.75" customHeight="1">
      <c r="A2911" s="15" t="s">
        <v>75</v>
      </c>
      <c r="B2911" s="16" t="s">
        <v>76</v>
      </c>
      <c r="C2911" s="15" t="str">
        <f>"20190120128"</f>
        <v>20190120128</v>
      </c>
      <c r="D2911" s="17">
        <v>72</v>
      </c>
    </row>
    <row r="2912" spans="1:4" ht="21.75" customHeight="1">
      <c r="A2912" s="15" t="s">
        <v>75</v>
      </c>
      <c r="B2912" s="16" t="s">
        <v>76</v>
      </c>
      <c r="C2912" s="15" t="str">
        <f>"20190120129"</f>
        <v>20190120129</v>
      </c>
      <c r="D2912" s="17">
        <v>55.5</v>
      </c>
    </row>
    <row r="2913" spans="1:4" ht="21.75" customHeight="1">
      <c r="A2913" s="15" t="s">
        <v>75</v>
      </c>
      <c r="B2913" s="16" t="s">
        <v>76</v>
      </c>
      <c r="C2913" s="15" t="str">
        <f>"20190120130"</f>
        <v>20190120130</v>
      </c>
      <c r="D2913" s="17">
        <v>64.5</v>
      </c>
    </row>
    <row r="2914" spans="1:4" ht="21.75" customHeight="1">
      <c r="A2914" s="15" t="s">
        <v>75</v>
      </c>
      <c r="B2914" s="16" t="s">
        <v>76</v>
      </c>
      <c r="C2914" s="15" t="str">
        <f>"20190120201"</f>
        <v>20190120201</v>
      </c>
      <c r="D2914" s="17">
        <v>54</v>
      </c>
    </row>
    <row r="2915" spans="1:4" ht="21.75" customHeight="1">
      <c r="A2915" s="15" t="s">
        <v>75</v>
      </c>
      <c r="B2915" s="16" t="s">
        <v>76</v>
      </c>
      <c r="C2915" s="15" t="str">
        <f>"20190120202"</f>
        <v>20190120202</v>
      </c>
      <c r="D2915" s="17">
        <v>61</v>
      </c>
    </row>
    <row r="2916" spans="1:4" ht="21.75" customHeight="1">
      <c r="A2916" s="15" t="s">
        <v>75</v>
      </c>
      <c r="B2916" s="16" t="s">
        <v>76</v>
      </c>
      <c r="C2916" s="15" t="str">
        <f>"20190120203"</f>
        <v>20190120203</v>
      </c>
      <c r="D2916" s="17">
        <v>64</v>
      </c>
    </row>
    <row r="2917" spans="1:4" ht="21.75" customHeight="1">
      <c r="A2917" s="15" t="s">
        <v>75</v>
      </c>
      <c r="B2917" s="16" t="s">
        <v>76</v>
      </c>
      <c r="C2917" s="15" t="str">
        <f>"20190120204"</f>
        <v>20190120204</v>
      </c>
      <c r="D2917" s="17">
        <v>54</v>
      </c>
    </row>
    <row r="2918" spans="1:4" ht="21.75" customHeight="1">
      <c r="A2918" s="15" t="s">
        <v>75</v>
      </c>
      <c r="B2918" s="16" t="s">
        <v>76</v>
      </c>
      <c r="C2918" s="15" t="str">
        <f>"20190120205"</f>
        <v>20190120205</v>
      </c>
      <c r="D2918" s="17">
        <v>63</v>
      </c>
    </row>
    <row r="2919" spans="1:4" ht="21.75" customHeight="1">
      <c r="A2919" s="15" t="s">
        <v>75</v>
      </c>
      <c r="B2919" s="16" t="s">
        <v>76</v>
      </c>
      <c r="C2919" s="15" t="str">
        <f>"20190120206"</f>
        <v>20190120206</v>
      </c>
      <c r="D2919" s="17" t="s">
        <v>12</v>
      </c>
    </row>
    <row r="2920" spans="1:4" ht="21.75" customHeight="1">
      <c r="A2920" s="15" t="s">
        <v>75</v>
      </c>
      <c r="B2920" s="16" t="s">
        <v>76</v>
      </c>
      <c r="C2920" s="15" t="str">
        <f>"20190120207"</f>
        <v>20190120207</v>
      </c>
      <c r="D2920" s="17">
        <v>72</v>
      </c>
    </row>
    <row r="2921" spans="1:4" ht="21.75" customHeight="1">
      <c r="A2921" s="15" t="s">
        <v>75</v>
      </c>
      <c r="B2921" s="16" t="s">
        <v>76</v>
      </c>
      <c r="C2921" s="15" t="str">
        <f>"20190120208"</f>
        <v>20190120208</v>
      </c>
      <c r="D2921" s="17">
        <v>49.5</v>
      </c>
    </row>
    <row r="2922" spans="1:4" ht="21.75" customHeight="1">
      <c r="A2922" s="15" t="s">
        <v>75</v>
      </c>
      <c r="B2922" s="16" t="s">
        <v>76</v>
      </c>
      <c r="C2922" s="15" t="str">
        <f>"20190120209"</f>
        <v>20190120209</v>
      </c>
      <c r="D2922" s="17">
        <v>56.5</v>
      </c>
    </row>
    <row r="2923" spans="1:4" ht="21.75" customHeight="1">
      <c r="A2923" s="15" t="s">
        <v>75</v>
      </c>
      <c r="B2923" s="16" t="s">
        <v>76</v>
      </c>
      <c r="C2923" s="15" t="str">
        <f>"20190120210"</f>
        <v>20190120210</v>
      </c>
      <c r="D2923" s="17">
        <v>61</v>
      </c>
    </row>
    <row r="2924" spans="1:4" ht="21.75" customHeight="1">
      <c r="A2924" s="15" t="s">
        <v>75</v>
      </c>
      <c r="B2924" s="16" t="s">
        <v>76</v>
      </c>
      <c r="C2924" s="15" t="str">
        <f>"20190120211"</f>
        <v>20190120211</v>
      </c>
      <c r="D2924" s="17">
        <v>52.5</v>
      </c>
    </row>
    <row r="2925" spans="1:4" ht="21.75" customHeight="1">
      <c r="A2925" s="15" t="s">
        <v>75</v>
      </c>
      <c r="B2925" s="16" t="s">
        <v>76</v>
      </c>
      <c r="C2925" s="15" t="str">
        <f>"20190120212"</f>
        <v>20190120212</v>
      </c>
      <c r="D2925" s="17" t="s">
        <v>12</v>
      </c>
    </row>
    <row r="2926" spans="1:4" ht="21.75" customHeight="1">
      <c r="A2926" s="15" t="s">
        <v>75</v>
      </c>
      <c r="B2926" s="16" t="s">
        <v>76</v>
      </c>
      <c r="C2926" s="15" t="str">
        <f>"20190120213"</f>
        <v>20190120213</v>
      </c>
      <c r="D2926" s="17">
        <v>61.5</v>
      </c>
    </row>
    <row r="2927" spans="1:4" ht="21.75" customHeight="1">
      <c r="A2927" s="15" t="s">
        <v>75</v>
      </c>
      <c r="B2927" s="16" t="s">
        <v>76</v>
      </c>
      <c r="C2927" s="15" t="str">
        <f>"20190120214"</f>
        <v>20190120214</v>
      </c>
      <c r="D2927" s="17" t="s">
        <v>12</v>
      </c>
    </row>
    <row r="2928" spans="1:4" ht="21.75" customHeight="1">
      <c r="A2928" s="15" t="s">
        <v>75</v>
      </c>
      <c r="B2928" s="16" t="s">
        <v>76</v>
      </c>
      <c r="C2928" s="15" t="str">
        <f>"20190120215"</f>
        <v>20190120215</v>
      </c>
      <c r="D2928" s="17">
        <v>57.5</v>
      </c>
    </row>
    <row r="2929" spans="1:4" ht="21.75" customHeight="1">
      <c r="A2929" s="15" t="s">
        <v>75</v>
      </c>
      <c r="B2929" s="16" t="s">
        <v>76</v>
      </c>
      <c r="C2929" s="15" t="str">
        <f>"20190120216"</f>
        <v>20190120216</v>
      </c>
      <c r="D2929" s="17">
        <v>51.5</v>
      </c>
    </row>
    <row r="2930" spans="1:4" ht="21.75" customHeight="1">
      <c r="A2930" s="15" t="s">
        <v>75</v>
      </c>
      <c r="B2930" s="16" t="s">
        <v>76</v>
      </c>
      <c r="C2930" s="15" t="str">
        <f>"20190120217"</f>
        <v>20190120217</v>
      </c>
      <c r="D2930" s="17">
        <v>61.5</v>
      </c>
    </row>
    <row r="2931" spans="1:4" ht="21.75" customHeight="1">
      <c r="A2931" s="15" t="s">
        <v>75</v>
      </c>
      <c r="B2931" s="16" t="s">
        <v>76</v>
      </c>
      <c r="C2931" s="15" t="str">
        <f>"20190120218"</f>
        <v>20190120218</v>
      </c>
      <c r="D2931" s="17">
        <v>69.5</v>
      </c>
    </row>
    <row r="2932" spans="1:4" ht="21.75" customHeight="1">
      <c r="A2932" s="15" t="s">
        <v>75</v>
      </c>
      <c r="B2932" s="16" t="s">
        <v>76</v>
      </c>
      <c r="C2932" s="15" t="str">
        <f>"20190120219"</f>
        <v>20190120219</v>
      </c>
      <c r="D2932" s="17">
        <v>56</v>
      </c>
    </row>
    <row r="2933" spans="1:5" ht="21.75" customHeight="1">
      <c r="A2933" s="15" t="s">
        <v>75</v>
      </c>
      <c r="B2933" s="16" t="s">
        <v>76</v>
      </c>
      <c r="C2933" s="15" t="str">
        <f>"20190120220"</f>
        <v>20190120220</v>
      </c>
      <c r="D2933" s="17">
        <v>77</v>
      </c>
      <c r="E2933" s="18" t="s">
        <v>9</v>
      </c>
    </row>
    <row r="2934" spans="1:4" ht="21.75" customHeight="1">
      <c r="A2934" s="15" t="s">
        <v>75</v>
      </c>
      <c r="B2934" s="16" t="s">
        <v>76</v>
      </c>
      <c r="C2934" s="15" t="str">
        <f>"20190120221"</f>
        <v>20190120221</v>
      </c>
      <c r="D2934" s="17">
        <v>66</v>
      </c>
    </row>
    <row r="2935" spans="1:4" ht="21.75" customHeight="1">
      <c r="A2935" s="15" t="s">
        <v>75</v>
      </c>
      <c r="B2935" s="16" t="s">
        <v>76</v>
      </c>
      <c r="C2935" s="15" t="str">
        <f>"20190120222"</f>
        <v>20190120222</v>
      </c>
      <c r="D2935" s="17">
        <v>61.5</v>
      </c>
    </row>
    <row r="2936" spans="1:4" ht="21.75" customHeight="1">
      <c r="A2936" s="15" t="s">
        <v>75</v>
      </c>
      <c r="B2936" s="16" t="s">
        <v>76</v>
      </c>
      <c r="C2936" s="15" t="str">
        <f>"20190120223"</f>
        <v>20190120223</v>
      </c>
      <c r="D2936" s="17">
        <v>65</v>
      </c>
    </row>
    <row r="2937" spans="1:4" ht="21.75" customHeight="1">
      <c r="A2937" s="15" t="s">
        <v>75</v>
      </c>
      <c r="B2937" s="16" t="s">
        <v>76</v>
      </c>
      <c r="C2937" s="15" t="str">
        <f>"20190120224"</f>
        <v>20190120224</v>
      </c>
      <c r="D2937" s="17">
        <v>63.5</v>
      </c>
    </row>
    <row r="2938" spans="1:5" ht="21.75" customHeight="1">
      <c r="A2938" s="15" t="s">
        <v>75</v>
      </c>
      <c r="B2938" s="16" t="s">
        <v>76</v>
      </c>
      <c r="C2938" s="15" t="str">
        <f>"20190120225"</f>
        <v>20190120225</v>
      </c>
      <c r="D2938" s="17">
        <v>50</v>
      </c>
      <c r="E2938" s="19"/>
    </row>
    <row r="2939" spans="1:5" ht="21.75" customHeight="1">
      <c r="A2939" s="15" t="s">
        <v>75</v>
      </c>
      <c r="B2939" s="16" t="s">
        <v>76</v>
      </c>
      <c r="C2939" s="15" t="str">
        <f>"20190120226"</f>
        <v>20190120226</v>
      </c>
      <c r="D2939" s="17">
        <v>71.5</v>
      </c>
      <c r="E2939" s="19"/>
    </row>
    <row r="2940" spans="1:5" ht="21.75" customHeight="1">
      <c r="A2940" s="15" t="s">
        <v>75</v>
      </c>
      <c r="B2940" s="16" t="s">
        <v>76</v>
      </c>
      <c r="C2940" s="15" t="str">
        <f>"20190120227"</f>
        <v>20190120227</v>
      </c>
      <c r="D2940" s="17">
        <v>63</v>
      </c>
      <c r="E2940" s="19"/>
    </row>
    <row r="2941" spans="1:4" ht="21.75" customHeight="1">
      <c r="A2941" s="15" t="s">
        <v>75</v>
      </c>
      <c r="B2941" s="16" t="s">
        <v>76</v>
      </c>
      <c r="C2941" s="15" t="str">
        <f>"20190120228"</f>
        <v>20190120228</v>
      </c>
      <c r="D2941" s="17">
        <v>53.5</v>
      </c>
    </row>
    <row r="2942" spans="1:4" ht="21.75" customHeight="1">
      <c r="A2942" s="15" t="s">
        <v>75</v>
      </c>
      <c r="B2942" s="16" t="s">
        <v>76</v>
      </c>
      <c r="C2942" s="15" t="str">
        <f>"20190120229"</f>
        <v>20190120229</v>
      </c>
      <c r="D2942" s="17" t="s">
        <v>12</v>
      </c>
    </row>
    <row r="2943" spans="1:4" ht="21.75" customHeight="1">
      <c r="A2943" s="15" t="s">
        <v>75</v>
      </c>
      <c r="B2943" s="16" t="s">
        <v>76</v>
      </c>
      <c r="C2943" s="15" t="str">
        <f>"20190120230"</f>
        <v>20190120230</v>
      </c>
      <c r="D2943" s="17">
        <v>63</v>
      </c>
    </row>
    <row r="2944" spans="1:4" ht="21.75" customHeight="1">
      <c r="A2944" s="15" t="s">
        <v>75</v>
      </c>
      <c r="B2944" s="16" t="s">
        <v>76</v>
      </c>
      <c r="C2944" s="15" t="str">
        <f>"20190120301"</f>
        <v>20190120301</v>
      </c>
      <c r="D2944" s="17">
        <v>62</v>
      </c>
    </row>
    <row r="2945" spans="1:4" ht="21.75" customHeight="1">
      <c r="A2945" s="15" t="s">
        <v>75</v>
      </c>
      <c r="B2945" s="16" t="s">
        <v>76</v>
      </c>
      <c r="C2945" s="15" t="str">
        <f>"20190120302"</f>
        <v>20190120302</v>
      </c>
      <c r="D2945" s="17">
        <v>52.5</v>
      </c>
    </row>
    <row r="2946" spans="1:4" ht="21.75" customHeight="1">
      <c r="A2946" s="15" t="s">
        <v>75</v>
      </c>
      <c r="B2946" s="16" t="s">
        <v>76</v>
      </c>
      <c r="C2946" s="15" t="str">
        <f>"20190120303"</f>
        <v>20190120303</v>
      </c>
      <c r="D2946" s="17">
        <v>62.5</v>
      </c>
    </row>
    <row r="2947" spans="1:4" ht="21.75" customHeight="1">
      <c r="A2947" s="15" t="s">
        <v>75</v>
      </c>
      <c r="B2947" s="16" t="s">
        <v>76</v>
      </c>
      <c r="C2947" s="15" t="str">
        <f>"20190120304"</f>
        <v>20190120304</v>
      </c>
      <c r="D2947" s="17" t="s">
        <v>12</v>
      </c>
    </row>
    <row r="2948" spans="1:4" ht="21.75" customHeight="1">
      <c r="A2948" s="15" t="s">
        <v>75</v>
      </c>
      <c r="B2948" s="16" t="s">
        <v>76</v>
      </c>
      <c r="C2948" s="15" t="str">
        <f>"20190120305"</f>
        <v>20190120305</v>
      </c>
      <c r="D2948" s="17">
        <v>55</v>
      </c>
    </row>
    <row r="2949" spans="1:4" ht="21.75" customHeight="1">
      <c r="A2949" s="15" t="s">
        <v>75</v>
      </c>
      <c r="B2949" s="16" t="s">
        <v>76</v>
      </c>
      <c r="C2949" s="15" t="str">
        <f>"20190120306"</f>
        <v>20190120306</v>
      </c>
      <c r="D2949" s="17">
        <v>61</v>
      </c>
    </row>
    <row r="2950" spans="1:4" ht="21.75" customHeight="1">
      <c r="A2950" s="15" t="s">
        <v>75</v>
      </c>
      <c r="B2950" s="16" t="s">
        <v>76</v>
      </c>
      <c r="C2950" s="15" t="str">
        <f>"20190120307"</f>
        <v>20190120307</v>
      </c>
      <c r="D2950" s="17">
        <v>53.5</v>
      </c>
    </row>
    <row r="2951" spans="1:4" ht="21.75" customHeight="1">
      <c r="A2951" s="15" t="s">
        <v>75</v>
      </c>
      <c r="B2951" s="16" t="s">
        <v>76</v>
      </c>
      <c r="C2951" s="15" t="str">
        <f>"20190120308"</f>
        <v>20190120308</v>
      </c>
      <c r="D2951" s="17">
        <v>58.5</v>
      </c>
    </row>
    <row r="2952" spans="1:4" ht="21.75" customHeight="1">
      <c r="A2952" s="15" t="s">
        <v>75</v>
      </c>
      <c r="B2952" s="16" t="s">
        <v>76</v>
      </c>
      <c r="C2952" s="15" t="str">
        <f>"20190120309"</f>
        <v>20190120309</v>
      </c>
      <c r="D2952" s="17" t="s">
        <v>12</v>
      </c>
    </row>
    <row r="2953" spans="1:4" ht="21.75" customHeight="1">
      <c r="A2953" s="15" t="s">
        <v>75</v>
      </c>
      <c r="B2953" s="16" t="s">
        <v>76</v>
      </c>
      <c r="C2953" s="15" t="str">
        <f>"20190120310"</f>
        <v>20190120310</v>
      </c>
      <c r="D2953" s="17">
        <v>57</v>
      </c>
    </row>
    <row r="2954" spans="1:4" ht="21.75" customHeight="1">
      <c r="A2954" s="15" t="s">
        <v>75</v>
      </c>
      <c r="B2954" s="16" t="s">
        <v>76</v>
      </c>
      <c r="C2954" s="15" t="str">
        <f>"20190120311"</f>
        <v>20190120311</v>
      </c>
      <c r="D2954" s="17">
        <v>59.5</v>
      </c>
    </row>
    <row r="2955" spans="1:4" ht="21.75" customHeight="1">
      <c r="A2955" s="15" t="s">
        <v>75</v>
      </c>
      <c r="B2955" s="16" t="s">
        <v>76</v>
      </c>
      <c r="C2955" s="15" t="str">
        <f>"20190120312"</f>
        <v>20190120312</v>
      </c>
      <c r="D2955" s="17">
        <v>57</v>
      </c>
    </row>
    <row r="2956" spans="1:4" ht="21.75" customHeight="1">
      <c r="A2956" s="15" t="s">
        <v>75</v>
      </c>
      <c r="B2956" s="16" t="s">
        <v>76</v>
      </c>
      <c r="C2956" s="15" t="str">
        <f>"20190120313"</f>
        <v>20190120313</v>
      </c>
      <c r="D2956" s="17" t="s">
        <v>12</v>
      </c>
    </row>
    <row r="2957" spans="1:4" ht="21.75" customHeight="1">
      <c r="A2957" s="15" t="s">
        <v>75</v>
      </c>
      <c r="B2957" s="16" t="s">
        <v>76</v>
      </c>
      <c r="C2957" s="15" t="str">
        <f>"20190120314"</f>
        <v>20190120314</v>
      </c>
      <c r="D2957" s="17">
        <v>58</v>
      </c>
    </row>
    <row r="2958" spans="1:4" ht="21.75" customHeight="1">
      <c r="A2958" s="15" t="s">
        <v>75</v>
      </c>
      <c r="B2958" s="16" t="s">
        <v>76</v>
      </c>
      <c r="C2958" s="15" t="str">
        <f>"20190120315"</f>
        <v>20190120315</v>
      </c>
      <c r="D2958" s="17" t="s">
        <v>12</v>
      </c>
    </row>
    <row r="2959" spans="1:4" ht="21.75" customHeight="1">
      <c r="A2959" s="15" t="s">
        <v>75</v>
      </c>
      <c r="B2959" s="16" t="s">
        <v>76</v>
      </c>
      <c r="C2959" s="15" t="str">
        <f>"20190120316"</f>
        <v>20190120316</v>
      </c>
      <c r="D2959" s="17">
        <v>51.5</v>
      </c>
    </row>
    <row r="2960" spans="1:4" ht="21.75" customHeight="1">
      <c r="A2960" s="15" t="s">
        <v>75</v>
      </c>
      <c r="B2960" s="16" t="s">
        <v>76</v>
      </c>
      <c r="C2960" s="15" t="str">
        <f>"20190120317"</f>
        <v>20190120317</v>
      </c>
      <c r="D2960" s="17">
        <v>55</v>
      </c>
    </row>
    <row r="2961" spans="1:4" ht="21.75" customHeight="1">
      <c r="A2961" s="15" t="s">
        <v>75</v>
      </c>
      <c r="B2961" s="16" t="s">
        <v>76</v>
      </c>
      <c r="C2961" s="15" t="str">
        <f>"20190120318"</f>
        <v>20190120318</v>
      </c>
      <c r="D2961" s="17" t="s">
        <v>12</v>
      </c>
    </row>
    <row r="2962" spans="1:4" ht="21.75" customHeight="1">
      <c r="A2962" s="15" t="s">
        <v>75</v>
      </c>
      <c r="B2962" s="16" t="s">
        <v>76</v>
      </c>
      <c r="C2962" s="15" t="str">
        <f>"20190120319"</f>
        <v>20190120319</v>
      </c>
      <c r="D2962" s="17" t="s">
        <v>12</v>
      </c>
    </row>
    <row r="2963" spans="1:4" ht="21.75" customHeight="1">
      <c r="A2963" s="15" t="s">
        <v>75</v>
      </c>
      <c r="B2963" s="16" t="s">
        <v>76</v>
      </c>
      <c r="C2963" s="15" t="str">
        <f>"20190120320"</f>
        <v>20190120320</v>
      </c>
      <c r="D2963" s="17" t="s">
        <v>12</v>
      </c>
    </row>
    <row r="2964" spans="1:4" ht="21.75" customHeight="1">
      <c r="A2964" s="15" t="s">
        <v>75</v>
      </c>
      <c r="B2964" s="16" t="s">
        <v>76</v>
      </c>
      <c r="C2964" s="15" t="str">
        <f>"20190120321"</f>
        <v>20190120321</v>
      </c>
      <c r="D2964" s="17">
        <v>62.5</v>
      </c>
    </row>
    <row r="2965" spans="1:4" ht="21.75" customHeight="1">
      <c r="A2965" s="15" t="s">
        <v>75</v>
      </c>
      <c r="B2965" s="16" t="s">
        <v>76</v>
      </c>
      <c r="C2965" s="15" t="str">
        <f>"20190120322"</f>
        <v>20190120322</v>
      </c>
      <c r="D2965" s="17" t="s">
        <v>12</v>
      </c>
    </row>
    <row r="2966" spans="1:4" ht="21.75" customHeight="1">
      <c r="A2966" s="15" t="s">
        <v>75</v>
      </c>
      <c r="B2966" s="16" t="s">
        <v>76</v>
      </c>
      <c r="C2966" s="15" t="str">
        <f>"20190120323"</f>
        <v>20190120323</v>
      </c>
      <c r="D2966" s="17">
        <v>45.5</v>
      </c>
    </row>
    <row r="2967" spans="1:4" ht="21.75" customHeight="1">
      <c r="A2967" s="15" t="s">
        <v>75</v>
      </c>
      <c r="B2967" s="16" t="s">
        <v>76</v>
      </c>
      <c r="C2967" s="15" t="str">
        <f>"20190120324"</f>
        <v>20190120324</v>
      </c>
      <c r="D2967" s="17">
        <v>59</v>
      </c>
    </row>
    <row r="2968" spans="1:5" ht="21.75" customHeight="1">
      <c r="A2968" s="15" t="s">
        <v>75</v>
      </c>
      <c r="B2968" s="16" t="s">
        <v>76</v>
      </c>
      <c r="C2968" s="15" t="str">
        <f>"20190120325"</f>
        <v>20190120325</v>
      </c>
      <c r="D2968" s="17">
        <v>64</v>
      </c>
      <c r="E2968" s="19"/>
    </row>
    <row r="2969" spans="1:5" ht="21.75" customHeight="1">
      <c r="A2969" s="15" t="s">
        <v>75</v>
      </c>
      <c r="B2969" s="16" t="s">
        <v>76</v>
      </c>
      <c r="C2969" s="15" t="str">
        <f>"20190120326"</f>
        <v>20190120326</v>
      </c>
      <c r="D2969" s="17">
        <v>62</v>
      </c>
      <c r="E2969" s="19"/>
    </row>
    <row r="2970" spans="1:5" ht="21.75" customHeight="1">
      <c r="A2970" s="15" t="s">
        <v>75</v>
      </c>
      <c r="B2970" s="16" t="s">
        <v>76</v>
      </c>
      <c r="C2970" s="15" t="str">
        <f>"20190120327"</f>
        <v>20190120327</v>
      </c>
      <c r="D2970" s="17">
        <v>57</v>
      </c>
      <c r="E2970" s="19"/>
    </row>
    <row r="2971" spans="1:4" ht="21.75" customHeight="1">
      <c r="A2971" s="15" t="s">
        <v>75</v>
      </c>
      <c r="B2971" s="16" t="s">
        <v>76</v>
      </c>
      <c r="C2971" s="15" t="str">
        <f>"20190120328"</f>
        <v>20190120328</v>
      </c>
      <c r="D2971" s="17" t="s">
        <v>12</v>
      </c>
    </row>
    <row r="2972" spans="1:4" ht="21.75" customHeight="1">
      <c r="A2972" s="15" t="s">
        <v>75</v>
      </c>
      <c r="B2972" s="16" t="s">
        <v>76</v>
      </c>
      <c r="C2972" s="15" t="str">
        <f>"20190120329"</f>
        <v>20190120329</v>
      </c>
      <c r="D2972" s="17">
        <v>49</v>
      </c>
    </row>
    <row r="2973" spans="1:4" ht="21.75" customHeight="1">
      <c r="A2973" s="15" t="s">
        <v>75</v>
      </c>
      <c r="B2973" s="16" t="s">
        <v>76</v>
      </c>
      <c r="C2973" s="15" t="str">
        <f>"20190120330"</f>
        <v>20190120330</v>
      </c>
      <c r="D2973" s="17">
        <v>59.5</v>
      </c>
    </row>
    <row r="2974" spans="1:4" ht="21.75" customHeight="1">
      <c r="A2974" s="15" t="s">
        <v>75</v>
      </c>
      <c r="B2974" s="16" t="s">
        <v>76</v>
      </c>
      <c r="C2974" s="15" t="str">
        <f>"20190120401"</f>
        <v>20190120401</v>
      </c>
      <c r="D2974" s="17">
        <v>58.5</v>
      </c>
    </row>
    <row r="2975" spans="1:4" ht="21.75" customHeight="1">
      <c r="A2975" s="15" t="s">
        <v>75</v>
      </c>
      <c r="B2975" s="16" t="s">
        <v>76</v>
      </c>
      <c r="C2975" s="15" t="str">
        <f>"20190120402"</f>
        <v>20190120402</v>
      </c>
      <c r="D2975" s="17">
        <v>63</v>
      </c>
    </row>
    <row r="2976" spans="1:4" ht="21.75" customHeight="1">
      <c r="A2976" s="15" t="s">
        <v>75</v>
      </c>
      <c r="B2976" s="16" t="s">
        <v>76</v>
      </c>
      <c r="C2976" s="15" t="str">
        <f>"20190120403"</f>
        <v>20190120403</v>
      </c>
      <c r="D2976" s="17" t="s">
        <v>12</v>
      </c>
    </row>
    <row r="2977" spans="1:4" ht="21.75" customHeight="1">
      <c r="A2977" s="15" t="s">
        <v>75</v>
      </c>
      <c r="B2977" s="16" t="s">
        <v>76</v>
      </c>
      <c r="C2977" s="15" t="str">
        <f>"20190120404"</f>
        <v>20190120404</v>
      </c>
      <c r="D2977" s="17" t="s">
        <v>12</v>
      </c>
    </row>
    <row r="2978" spans="1:4" ht="21.75" customHeight="1">
      <c r="A2978" s="15" t="s">
        <v>75</v>
      </c>
      <c r="B2978" s="16" t="s">
        <v>76</v>
      </c>
      <c r="C2978" s="15" t="str">
        <f>"20190120405"</f>
        <v>20190120405</v>
      </c>
      <c r="D2978" s="17">
        <v>65</v>
      </c>
    </row>
    <row r="2979" spans="1:4" ht="21.75" customHeight="1">
      <c r="A2979" s="15" t="s">
        <v>75</v>
      </c>
      <c r="B2979" s="16" t="s">
        <v>76</v>
      </c>
      <c r="C2979" s="15" t="str">
        <f>"20190120406"</f>
        <v>20190120406</v>
      </c>
      <c r="D2979" s="17">
        <v>48</v>
      </c>
    </row>
    <row r="2980" spans="1:4" ht="21.75" customHeight="1">
      <c r="A2980" s="15" t="s">
        <v>75</v>
      </c>
      <c r="B2980" s="16" t="s">
        <v>76</v>
      </c>
      <c r="C2980" s="15" t="str">
        <f>"20190120407"</f>
        <v>20190120407</v>
      </c>
      <c r="D2980" s="17" t="s">
        <v>12</v>
      </c>
    </row>
    <row r="2981" spans="1:4" ht="21.75" customHeight="1">
      <c r="A2981" s="15" t="s">
        <v>75</v>
      </c>
      <c r="B2981" s="16" t="s">
        <v>76</v>
      </c>
      <c r="C2981" s="15" t="str">
        <f>"20190120408"</f>
        <v>20190120408</v>
      </c>
      <c r="D2981" s="17">
        <v>61.5</v>
      </c>
    </row>
    <row r="2982" spans="1:4" ht="21.75" customHeight="1">
      <c r="A2982" s="15" t="s">
        <v>75</v>
      </c>
      <c r="B2982" s="16" t="s">
        <v>76</v>
      </c>
      <c r="C2982" s="15" t="str">
        <f>"20190120409"</f>
        <v>20190120409</v>
      </c>
      <c r="D2982" s="17">
        <v>61</v>
      </c>
    </row>
    <row r="2983" spans="1:4" ht="21.75" customHeight="1">
      <c r="A2983" s="15" t="s">
        <v>75</v>
      </c>
      <c r="B2983" s="16" t="s">
        <v>76</v>
      </c>
      <c r="C2983" s="15" t="str">
        <f>"20190120410"</f>
        <v>20190120410</v>
      </c>
      <c r="D2983" s="17">
        <v>58</v>
      </c>
    </row>
    <row r="2984" spans="1:4" ht="21.75" customHeight="1">
      <c r="A2984" s="15" t="s">
        <v>75</v>
      </c>
      <c r="B2984" s="16" t="s">
        <v>76</v>
      </c>
      <c r="C2984" s="15" t="str">
        <f>"20190120411"</f>
        <v>20190120411</v>
      </c>
      <c r="D2984" s="17">
        <v>70.5</v>
      </c>
    </row>
    <row r="2985" spans="1:4" ht="21.75" customHeight="1">
      <c r="A2985" s="15" t="s">
        <v>75</v>
      </c>
      <c r="B2985" s="16" t="s">
        <v>76</v>
      </c>
      <c r="C2985" s="15" t="str">
        <f>"20190120412"</f>
        <v>20190120412</v>
      </c>
      <c r="D2985" s="17">
        <v>46.5</v>
      </c>
    </row>
    <row r="2986" spans="1:4" ht="21.75" customHeight="1">
      <c r="A2986" s="15" t="s">
        <v>75</v>
      </c>
      <c r="B2986" s="16" t="s">
        <v>76</v>
      </c>
      <c r="C2986" s="15" t="str">
        <f>"20190120413"</f>
        <v>20190120413</v>
      </c>
      <c r="D2986" s="17">
        <v>62.5</v>
      </c>
    </row>
    <row r="2987" spans="1:4" ht="21.75" customHeight="1">
      <c r="A2987" s="15" t="s">
        <v>75</v>
      </c>
      <c r="B2987" s="16" t="s">
        <v>76</v>
      </c>
      <c r="C2987" s="15" t="str">
        <f>"20190120414"</f>
        <v>20190120414</v>
      </c>
      <c r="D2987" s="17">
        <v>57.5</v>
      </c>
    </row>
    <row r="2988" spans="1:4" ht="21.75" customHeight="1">
      <c r="A2988" s="15" t="s">
        <v>75</v>
      </c>
      <c r="B2988" s="16" t="s">
        <v>76</v>
      </c>
      <c r="C2988" s="15" t="str">
        <f>"20190120415"</f>
        <v>20190120415</v>
      </c>
      <c r="D2988" s="17">
        <v>59.5</v>
      </c>
    </row>
    <row r="2989" spans="1:4" ht="21.75" customHeight="1">
      <c r="A2989" s="15" t="s">
        <v>75</v>
      </c>
      <c r="B2989" s="16" t="s">
        <v>76</v>
      </c>
      <c r="C2989" s="15" t="str">
        <f>"20190120416"</f>
        <v>20190120416</v>
      </c>
      <c r="D2989" s="17">
        <v>64</v>
      </c>
    </row>
    <row r="2990" spans="1:4" ht="21.75" customHeight="1">
      <c r="A2990" s="15" t="s">
        <v>75</v>
      </c>
      <c r="B2990" s="16" t="s">
        <v>76</v>
      </c>
      <c r="C2990" s="15" t="str">
        <f>"20190120417"</f>
        <v>20190120417</v>
      </c>
      <c r="D2990" s="17">
        <v>41.5</v>
      </c>
    </row>
    <row r="2991" spans="1:4" ht="21.75" customHeight="1">
      <c r="A2991" s="15" t="s">
        <v>75</v>
      </c>
      <c r="B2991" s="16" t="s">
        <v>76</v>
      </c>
      <c r="C2991" s="15" t="str">
        <f>"20190120418"</f>
        <v>20190120418</v>
      </c>
      <c r="D2991" s="17">
        <v>56.5</v>
      </c>
    </row>
    <row r="2992" spans="1:4" ht="21.75" customHeight="1">
      <c r="A2992" s="15" t="s">
        <v>75</v>
      </c>
      <c r="B2992" s="16" t="s">
        <v>76</v>
      </c>
      <c r="C2992" s="15" t="str">
        <f>"20190120419"</f>
        <v>20190120419</v>
      </c>
      <c r="D2992" s="17">
        <v>54.5</v>
      </c>
    </row>
    <row r="2993" spans="1:4" ht="21.75" customHeight="1">
      <c r="A2993" s="15" t="s">
        <v>75</v>
      </c>
      <c r="B2993" s="16" t="s">
        <v>76</v>
      </c>
      <c r="C2993" s="15" t="str">
        <f>"20190120420"</f>
        <v>20190120420</v>
      </c>
      <c r="D2993" s="17">
        <v>69</v>
      </c>
    </row>
    <row r="2994" spans="1:4" ht="21.75" customHeight="1">
      <c r="A2994" s="15" t="s">
        <v>75</v>
      </c>
      <c r="B2994" s="16" t="s">
        <v>76</v>
      </c>
      <c r="C2994" s="15" t="str">
        <f>"20190120421"</f>
        <v>20190120421</v>
      </c>
      <c r="D2994" s="17">
        <v>63.5</v>
      </c>
    </row>
    <row r="2995" spans="1:4" ht="21.75" customHeight="1">
      <c r="A2995" s="15" t="s">
        <v>75</v>
      </c>
      <c r="B2995" s="16" t="s">
        <v>76</v>
      </c>
      <c r="C2995" s="15" t="str">
        <f>"20190120422"</f>
        <v>20190120422</v>
      </c>
      <c r="D2995" s="17">
        <v>59.5</v>
      </c>
    </row>
    <row r="2996" spans="1:4" ht="21.75" customHeight="1">
      <c r="A2996" s="15" t="s">
        <v>75</v>
      </c>
      <c r="B2996" s="16" t="s">
        <v>76</v>
      </c>
      <c r="C2996" s="15" t="str">
        <f>"20190120423"</f>
        <v>20190120423</v>
      </c>
      <c r="D2996" s="17" t="s">
        <v>12</v>
      </c>
    </row>
    <row r="2997" spans="1:4" ht="21.75" customHeight="1">
      <c r="A2997" s="15" t="s">
        <v>75</v>
      </c>
      <c r="B2997" s="16" t="s">
        <v>76</v>
      </c>
      <c r="C2997" s="15" t="str">
        <f>"20190120424"</f>
        <v>20190120424</v>
      </c>
      <c r="D2997" s="17">
        <v>59</v>
      </c>
    </row>
    <row r="2998" spans="1:4" ht="21.75" customHeight="1">
      <c r="A2998" s="15" t="s">
        <v>75</v>
      </c>
      <c r="B2998" s="16" t="s">
        <v>76</v>
      </c>
      <c r="C2998" s="15" t="str">
        <f>"20190120425"</f>
        <v>20190120425</v>
      </c>
      <c r="D2998" s="17">
        <v>70</v>
      </c>
    </row>
    <row r="2999" spans="1:4" ht="21.75" customHeight="1">
      <c r="A2999" s="15" t="s">
        <v>75</v>
      </c>
      <c r="B2999" s="16" t="s">
        <v>76</v>
      </c>
      <c r="C2999" s="15" t="str">
        <f>"20190120426"</f>
        <v>20190120426</v>
      </c>
      <c r="D2999" s="17" t="s">
        <v>12</v>
      </c>
    </row>
    <row r="3000" spans="1:4" ht="21.75" customHeight="1">
      <c r="A3000" s="15" t="s">
        <v>75</v>
      </c>
      <c r="B3000" s="16" t="s">
        <v>76</v>
      </c>
      <c r="C3000" s="15" t="str">
        <f>"20190120427"</f>
        <v>20190120427</v>
      </c>
      <c r="D3000" s="17">
        <v>65</v>
      </c>
    </row>
    <row r="3001" spans="1:4" ht="21.75" customHeight="1">
      <c r="A3001" s="15" t="s">
        <v>75</v>
      </c>
      <c r="B3001" s="16" t="s">
        <v>76</v>
      </c>
      <c r="C3001" s="15" t="str">
        <f>"20190120428"</f>
        <v>20190120428</v>
      </c>
      <c r="D3001" s="17">
        <v>54</v>
      </c>
    </row>
    <row r="3002" spans="1:4" ht="21.75" customHeight="1">
      <c r="A3002" s="15" t="s">
        <v>75</v>
      </c>
      <c r="B3002" s="16" t="s">
        <v>76</v>
      </c>
      <c r="C3002" s="15" t="str">
        <f>"20190120429"</f>
        <v>20190120429</v>
      </c>
      <c r="D3002" s="17">
        <v>59</v>
      </c>
    </row>
    <row r="3003" spans="1:4" ht="21.75" customHeight="1">
      <c r="A3003" s="15" t="s">
        <v>75</v>
      </c>
      <c r="B3003" s="16" t="s">
        <v>76</v>
      </c>
      <c r="C3003" s="15" t="str">
        <f>"20190120430"</f>
        <v>20190120430</v>
      </c>
      <c r="D3003" s="17">
        <v>56</v>
      </c>
    </row>
    <row r="3004" spans="1:4" ht="21.75" customHeight="1">
      <c r="A3004" s="15" t="s">
        <v>75</v>
      </c>
      <c r="B3004" s="16" t="s">
        <v>76</v>
      </c>
      <c r="C3004" s="15" t="str">
        <f>"20190120501"</f>
        <v>20190120501</v>
      </c>
      <c r="D3004" s="17">
        <v>55.5</v>
      </c>
    </row>
    <row r="3005" spans="1:4" ht="21.75" customHeight="1">
      <c r="A3005" s="15" t="s">
        <v>75</v>
      </c>
      <c r="B3005" s="16" t="s">
        <v>76</v>
      </c>
      <c r="C3005" s="15" t="str">
        <f>"20190120502"</f>
        <v>20190120502</v>
      </c>
      <c r="D3005" s="17" t="s">
        <v>12</v>
      </c>
    </row>
    <row r="3006" spans="1:4" ht="21.75" customHeight="1">
      <c r="A3006" s="15" t="s">
        <v>75</v>
      </c>
      <c r="B3006" s="16" t="s">
        <v>76</v>
      </c>
      <c r="C3006" s="15" t="str">
        <f>"20190120503"</f>
        <v>20190120503</v>
      </c>
      <c r="D3006" s="17">
        <v>53</v>
      </c>
    </row>
    <row r="3007" spans="1:4" ht="21.75" customHeight="1">
      <c r="A3007" s="15" t="s">
        <v>75</v>
      </c>
      <c r="B3007" s="16" t="s">
        <v>76</v>
      </c>
      <c r="C3007" s="15" t="str">
        <f>"20190120504"</f>
        <v>20190120504</v>
      </c>
      <c r="D3007" s="17">
        <v>54.5</v>
      </c>
    </row>
    <row r="3008" spans="1:4" ht="21.75" customHeight="1">
      <c r="A3008" s="15" t="s">
        <v>75</v>
      </c>
      <c r="B3008" s="16" t="s">
        <v>76</v>
      </c>
      <c r="C3008" s="15" t="str">
        <f>"20190120505"</f>
        <v>20190120505</v>
      </c>
      <c r="D3008" s="17">
        <v>63.5</v>
      </c>
    </row>
    <row r="3009" spans="1:5" ht="21.75" customHeight="1">
      <c r="A3009" s="15" t="s">
        <v>75</v>
      </c>
      <c r="B3009" s="16" t="s">
        <v>76</v>
      </c>
      <c r="C3009" s="15" t="str">
        <f>"20190120506"</f>
        <v>20190120506</v>
      </c>
      <c r="D3009" s="17">
        <v>73.5</v>
      </c>
      <c r="E3009" s="18" t="s">
        <v>9</v>
      </c>
    </row>
    <row r="3010" spans="1:5" ht="21.75" customHeight="1">
      <c r="A3010" s="15" t="s">
        <v>75</v>
      </c>
      <c r="B3010" s="16" t="s">
        <v>76</v>
      </c>
      <c r="C3010" s="15" t="str">
        <f>"20190120507"</f>
        <v>20190120507</v>
      </c>
      <c r="D3010" s="17">
        <v>57</v>
      </c>
      <c r="E3010" s="19"/>
    </row>
    <row r="3011" spans="1:5" ht="21.75" customHeight="1">
      <c r="A3011" s="15" t="s">
        <v>75</v>
      </c>
      <c r="B3011" s="16" t="s">
        <v>76</v>
      </c>
      <c r="C3011" s="15" t="str">
        <f>"20190120508"</f>
        <v>20190120508</v>
      </c>
      <c r="D3011" s="17">
        <v>56</v>
      </c>
      <c r="E3011" s="19"/>
    </row>
    <row r="3012" spans="1:5" ht="21.75" customHeight="1">
      <c r="A3012" s="15" t="s">
        <v>75</v>
      </c>
      <c r="B3012" s="16" t="s">
        <v>76</v>
      </c>
      <c r="C3012" s="15" t="str">
        <f>"20190120509"</f>
        <v>20190120509</v>
      </c>
      <c r="D3012" s="17" t="s">
        <v>12</v>
      </c>
      <c r="E3012" s="19"/>
    </row>
    <row r="3013" spans="1:4" ht="21.75" customHeight="1">
      <c r="A3013" s="15" t="s">
        <v>75</v>
      </c>
      <c r="B3013" s="16" t="s">
        <v>76</v>
      </c>
      <c r="C3013" s="15" t="str">
        <f>"20190120510"</f>
        <v>20190120510</v>
      </c>
      <c r="D3013" s="17">
        <v>61.5</v>
      </c>
    </row>
    <row r="3014" spans="1:4" ht="21.75" customHeight="1">
      <c r="A3014" s="15" t="s">
        <v>75</v>
      </c>
      <c r="B3014" s="16" t="s">
        <v>76</v>
      </c>
      <c r="C3014" s="15" t="str">
        <f>"20190120511"</f>
        <v>20190120511</v>
      </c>
      <c r="D3014" s="17">
        <v>54</v>
      </c>
    </row>
    <row r="3015" spans="1:4" ht="21.75" customHeight="1">
      <c r="A3015" s="15" t="s">
        <v>75</v>
      </c>
      <c r="B3015" s="16" t="s">
        <v>76</v>
      </c>
      <c r="C3015" s="15" t="str">
        <f>"20190120512"</f>
        <v>20190120512</v>
      </c>
      <c r="D3015" s="17">
        <v>65</v>
      </c>
    </row>
    <row r="3016" spans="1:4" ht="21.75" customHeight="1">
      <c r="A3016" s="15" t="s">
        <v>75</v>
      </c>
      <c r="B3016" s="16" t="s">
        <v>76</v>
      </c>
      <c r="C3016" s="15" t="str">
        <f>"20190120513"</f>
        <v>20190120513</v>
      </c>
      <c r="D3016" s="17">
        <v>63.5</v>
      </c>
    </row>
    <row r="3017" spans="1:4" ht="21.75" customHeight="1">
      <c r="A3017" s="15" t="s">
        <v>75</v>
      </c>
      <c r="B3017" s="16" t="s">
        <v>76</v>
      </c>
      <c r="C3017" s="15" t="str">
        <f>"20190120514"</f>
        <v>20190120514</v>
      </c>
      <c r="D3017" s="17">
        <v>63</v>
      </c>
    </row>
    <row r="3018" spans="1:4" ht="21.75" customHeight="1">
      <c r="A3018" s="15" t="s">
        <v>75</v>
      </c>
      <c r="B3018" s="16" t="s">
        <v>76</v>
      </c>
      <c r="C3018" s="15" t="str">
        <f>"20190120515"</f>
        <v>20190120515</v>
      </c>
      <c r="D3018" s="17">
        <v>61</v>
      </c>
    </row>
    <row r="3019" spans="1:4" ht="21.75" customHeight="1">
      <c r="A3019" s="15" t="s">
        <v>75</v>
      </c>
      <c r="B3019" s="16" t="s">
        <v>76</v>
      </c>
      <c r="C3019" s="15" t="str">
        <f>"20190120516"</f>
        <v>20190120516</v>
      </c>
      <c r="D3019" s="17">
        <v>52.5</v>
      </c>
    </row>
    <row r="3020" spans="1:4" ht="21.75" customHeight="1">
      <c r="A3020" s="15" t="s">
        <v>75</v>
      </c>
      <c r="B3020" s="16" t="s">
        <v>76</v>
      </c>
      <c r="C3020" s="15" t="str">
        <f>"20190120517"</f>
        <v>20190120517</v>
      </c>
      <c r="D3020" s="17">
        <v>57</v>
      </c>
    </row>
    <row r="3021" spans="1:4" ht="21.75" customHeight="1">
      <c r="A3021" s="15" t="s">
        <v>75</v>
      </c>
      <c r="B3021" s="16" t="s">
        <v>76</v>
      </c>
      <c r="C3021" s="15" t="str">
        <f>"20190120518"</f>
        <v>20190120518</v>
      </c>
      <c r="D3021" s="17">
        <v>59</v>
      </c>
    </row>
    <row r="3022" spans="1:4" ht="21.75" customHeight="1">
      <c r="A3022" s="15" t="s">
        <v>75</v>
      </c>
      <c r="B3022" s="16" t="s">
        <v>76</v>
      </c>
      <c r="C3022" s="15" t="str">
        <f>"20190120519"</f>
        <v>20190120519</v>
      </c>
      <c r="D3022" s="17">
        <v>58</v>
      </c>
    </row>
    <row r="3023" spans="1:4" ht="21.75" customHeight="1">
      <c r="A3023" s="15" t="s">
        <v>75</v>
      </c>
      <c r="B3023" s="16" t="s">
        <v>76</v>
      </c>
      <c r="C3023" s="15" t="str">
        <f>"20190120520"</f>
        <v>20190120520</v>
      </c>
      <c r="D3023" s="17">
        <v>58.5</v>
      </c>
    </row>
    <row r="3024" spans="1:4" ht="21.75" customHeight="1">
      <c r="A3024" s="15" t="s">
        <v>75</v>
      </c>
      <c r="B3024" s="16" t="s">
        <v>76</v>
      </c>
      <c r="C3024" s="15" t="str">
        <f>"20190120521"</f>
        <v>20190120521</v>
      </c>
      <c r="D3024" s="17">
        <v>67.5</v>
      </c>
    </row>
    <row r="3025" spans="1:4" ht="21.75" customHeight="1">
      <c r="A3025" s="15" t="s">
        <v>75</v>
      </c>
      <c r="B3025" s="16" t="s">
        <v>76</v>
      </c>
      <c r="C3025" s="15" t="str">
        <f>"20190120522"</f>
        <v>20190120522</v>
      </c>
      <c r="D3025" s="17" t="s">
        <v>12</v>
      </c>
    </row>
    <row r="3026" spans="1:4" ht="21.75" customHeight="1">
      <c r="A3026" s="15" t="s">
        <v>75</v>
      </c>
      <c r="B3026" s="16" t="s">
        <v>76</v>
      </c>
      <c r="C3026" s="15" t="str">
        <f>"20190120523"</f>
        <v>20190120523</v>
      </c>
      <c r="D3026" s="17">
        <v>57.5</v>
      </c>
    </row>
    <row r="3027" spans="1:4" ht="21.75" customHeight="1">
      <c r="A3027" s="15" t="s">
        <v>75</v>
      </c>
      <c r="B3027" s="16" t="s">
        <v>76</v>
      </c>
      <c r="C3027" s="15" t="str">
        <f>"20190120524"</f>
        <v>20190120524</v>
      </c>
      <c r="D3027" s="17">
        <v>59.5</v>
      </c>
    </row>
    <row r="3028" spans="1:4" ht="21.75" customHeight="1">
      <c r="A3028" s="15" t="s">
        <v>75</v>
      </c>
      <c r="B3028" s="16" t="s">
        <v>76</v>
      </c>
      <c r="C3028" s="15" t="str">
        <f>"20190120525"</f>
        <v>20190120525</v>
      </c>
      <c r="D3028" s="17">
        <v>55</v>
      </c>
    </row>
    <row r="3029" spans="1:4" ht="21.75" customHeight="1">
      <c r="A3029" s="15" t="s">
        <v>75</v>
      </c>
      <c r="B3029" s="16" t="s">
        <v>76</v>
      </c>
      <c r="C3029" s="15" t="str">
        <f>"20190120526"</f>
        <v>20190120526</v>
      </c>
      <c r="D3029" s="17">
        <v>58.5</v>
      </c>
    </row>
    <row r="3030" spans="1:4" ht="21.75" customHeight="1">
      <c r="A3030" s="15" t="s">
        <v>75</v>
      </c>
      <c r="B3030" s="16" t="s">
        <v>76</v>
      </c>
      <c r="C3030" s="15" t="str">
        <f>"20190120527"</f>
        <v>20190120527</v>
      </c>
      <c r="D3030" s="17">
        <v>46.5</v>
      </c>
    </row>
    <row r="3031" spans="1:5" ht="21.75" customHeight="1">
      <c r="A3031" s="15" t="s">
        <v>75</v>
      </c>
      <c r="B3031" s="16" t="s">
        <v>76</v>
      </c>
      <c r="C3031" s="15" t="str">
        <f>"20190120528"</f>
        <v>20190120528</v>
      </c>
      <c r="D3031" s="17">
        <v>57.5</v>
      </c>
      <c r="E3031" s="19"/>
    </row>
    <row r="3032" spans="1:5" ht="21.75" customHeight="1">
      <c r="A3032" s="15" t="s">
        <v>75</v>
      </c>
      <c r="B3032" s="16" t="s">
        <v>76</v>
      </c>
      <c r="C3032" s="15" t="str">
        <f>"20190120529"</f>
        <v>20190120529</v>
      </c>
      <c r="D3032" s="17" t="s">
        <v>12</v>
      </c>
      <c r="E3032" s="19"/>
    </row>
    <row r="3033" spans="1:5" ht="21.75" customHeight="1">
      <c r="A3033" s="15" t="s">
        <v>75</v>
      </c>
      <c r="B3033" s="16" t="s">
        <v>76</v>
      </c>
      <c r="C3033" s="15" t="str">
        <f>"20190120530"</f>
        <v>20190120530</v>
      </c>
      <c r="D3033" s="17">
        <v>67</v>
      </c>
      <c r="E3033" s="19"/>
    </row>
    <row r="3034" spans="1:4" ht="21.75" customHeight="1">
      <c r="A3034" s="15" t="s">
        <v>75</v>
      </c>
      <c r="B3034" s="16" t="s">
        <v>76</v>
      </c>
      <c r="C3034" s="15" t="str">
        <f>"20190120601"</f>
        <v>20190120601</v>
      </c>
      <c r="D3034" s="17">
        <v>58</v>
      </c>
    </row>
    <row r="3035" spans="1:4" ht="21.75" customHeight="1">
      <c r="A3035" s="15" t="s">
        <v>75</v>
      </c>
      <c r="B3035" s="16" t="s">
        <v>76</v>
      </c>
      <c r="C3035" s="15" t="str">
        <f>"20190120602"</f>
        <v>20190120602</v>
      </c>
      <c r="D3035" s="17">
        <v>63</v>
      </c>
    </row>
    <row r="3036" spans="1:4" ht="21.75" customHeight="1">
      <c r="A3036" s="15" t="s">
        <v>75</v>
      </c>
      <c r="B3036" s="16" t="s">
        <v>76</v>
      </c>
      <c r="C3036" s="15" t="str">
        <f>"20190120603"</f>
        <v>20190120603</v>
      </c>
      <c r="D3036" s="17">
        <v>55</v>
      </c>
    </row>
    <row r="3037" spans="1:4" ht="21.75" customHeight="1">
      <c r="A3037" s="15" t="s">
        <v>75</v>
      </c>
      <c r="B3037" s="16" t="s">
        <v>76</v>
      </c>
      <c r="C3037" s="15" t="str">
        <f>"20190120604"</f>
        <v>20190120604</v>
      </c>
      <c r="D3037" s="17">
        <v>57</v>
      </c>
    </row>
    <row r="3038" spans="1:4" ht="21.75" customHeight="1">
      <c r="A3038" s="15" t="s">
        <v>75</v>
      </c>
      <c r="B3038" s="16" t="s">
        <v>76</v>
      </c>
      <c r="C3038" s="15" t="str">
        <f>"20190120605"</f>
        <v>20190120605</v>
      </c>
      <c r="D3038" s="17">
        <v>61</v>
      </c>
    </row>
    <row r="3039" spans="1:4" ht="21.75" customHeight="1">
      <c r="A3039" s="15" t="s">
        <v>75</v>
      </c>
      <c r="B3039" s="16" t="s">
        <v>76</v>
      </c>
      <c r="C3039" s="15" t="str">
        <f>"20190120606"</f>
        <v>20190120606</v>
      </c>
      <c r="D3039" s="17">
        <v>69</v>
      </c>
    </row>
    <row r="3040" spans="1:4" ht="21.75" customHeight="1">
      <c r="A3040" s="15" t="s">
        <v>75</v>
      </c>
      <c r="B3040" s="16" t="s">
        <v>76</v>
      </c>
      <c r="C3040" s="15" t="str">
        <f>"20190120607"</f>
        <v>20190120607</v>
      </c>
      <c r="D3040" s="17">
        <v>57</v>
      </c>
    </row>
    <row r="3041" spans="1:4" ht="21.75" customHeight="1">
      <c r="A3041" s="15" t="s">
        <v>75</v>
      </c>
      <c r="B3041" s="16" t="s">
        <v>76</v>
      </c>
      <c r="C3041" s="15" t="str">
        <f>"20190120608"</f>
        <v>20190120608</v>
      </c>
      <c r="D3041" s="17">
        <v>51</v>
      </c>
    </row>
    <row r="3042" spans="1:4" ht="21.75" customHeight="1">
      <c r="A3042" s="15" t="s">
        <v>75</v>
      </c>
      <c r="B3042" s="16" t="s">
        <v>76</v>
      </c>
      <c r="C3042" s="15" t="str">
        <f>"20190120609"</f>
        <v>20190120609</v>
      </c>
      <c r="D3042" s="17">
        <v>66</v>
      </c>
    </row>
    <row r="3043" spans="1:4" ht="21.75" customHeight="1">
      <c r="A3043" s="15" t="s">
        <v>75</v>
      </c>
      <c r="B3043" s="16" t="s">
        <v>76</v>
      </c>
      <c r="C3043" s="15" t="str">
        <f>"20190120610"</f>
        <v>20190120610</v>
      </c>
      <c r="D3043" s="17" t="s">
        <v>12</v>
      </c>
    </row>
    <row r="3044" spans="1:4" ht="21.75" customHeight="1">
      <c r="A3044" s="15" t="s">
        <v>75</v>
      </c>
      <c r="B3044" s="16" t="s">
        <v>76</v>
      </c>
      <c r="C3044" s="15" t="str">
        <f>"20190120611"</f>
        <v>20190120611</v>
      </c>
      <c r="D3044" s="17">
        <v>58.5</v>
      </c>
    </row>
    <row r="3045" spans="1:4" ht="21.75" customHeight="1">
      <c r="A3045" s="15" t="s">
        <v>75</v>
      </c>
      <c r="B3045" s="16" t="s">
        <v>76</v>
      </c>
      <c r="C3045" s="15" t="str">
        <f>"20190120612"</f>
        <v>20190120612</v>
      </c>
      <c r="D3045" s="17">
        <v>51</v>
      </c>
    </row>
    <row r="3046" spans="1:4" ht="21.75" customHeight="1">
      <c r="A3046" s="15" t="s">
        <v>75</v>
      </c>
      <c r="B3046" s="16" t="s">
        <v>76</v>
      </c>
      <c r="C3046" s="15" t="str">
        <f>"20190120613"</f>
        <v>20190120613</v>
      </c>
      <c r="D3046" s="17">
        <v>64</v>
      </c>
    </row>
    <row r="3047" spans="1:4" ht="21.75" customHeight="1">
      <c r="A3047" s="15" t="s">
        <v>75</v>
      </c>
      <c r="B3047" s="16" t="s">
        <v>76</v>
      </c>
      <c r="C3047" s="15" t="str">
        <f>"20190120614"</f>
        <v>20190120614</v>
      </c>
      <c r="D3047" s="17">
        <v>58.5</v>
      </c>
    </row>
    <row r="3048" spans="1:4" ht="21.75" customHeight="1">
      <c r="A3048" s="15" t="s">
        <v>75</v>
      </c>
      <c r="B3048" s="16" t="s">
        <v>76</v>
      </c>
      <c r="C3048" s="15" t="str">
        <f>"20190120615"</f>
        <v>20190120615</v>
      </c>
      <c r="D3048" s="17" t="s">
        <v>12</v>
      </c>
    </row>
    <row r="3049" spans="1:4" ht="21.75" customHeight="1">
      <c r="A3049" s="15" t="s">
        <v>75</v>
      </c>
      <c r="B3049" s="16" t="s">
        <v>76</v>
      </c>
      <c r="C3049" s="15" t="str">
        <f>"20190120616"</f>
        <v>20190120616</v>
      </c>
      <c r="D3049" s="17">
        <v>57</v>
      </c>
    </row>
    <row r="3050" spans="1:4" ht="21.75" customHeight="1">
      <c r="A3050" s="15" t="s">
        <v>75</v>
      </c>
      <c r="B3050" s="16" t="s">
        <v>76</v>
      </c>
      <c r="C3050" s="15" t="str">
        <f>"20190120617"</f>
        <v>20190120617</v>
      </c>
      <c r="D3050" s="17">
        <v>47</v>
      </c>
    </row>
    <row r="3051" spans="1:4" ht="21.75" customHeight="1">
      <c r="A3051" s="15" t="s">
        <v>75</v>
      </c>
      <c r="B3051" s="16" t="s">
        <v>76</v>
      </c>
      <c r="C3051" s="15" t="str">
        <f>"20190120618"</f>
        <v>20190120618</v>
      </c>
      <c r="D3051" s="17">
        <v>64</v>
      </c>
    </row>
    <row r="3052" spans="1:4" ht="21.75" customHeight="1">
      <c r="A3052" s="15" t="s">
        <v>75</v>
      </c>
      <c r="B3052" s="16" t="s">
        <v>76</v>
      </c>
      <c r="C3052" s="15" t="str">
        <f>"20190120619"</f>
        <v>20190120619</v>
      </c>
      <c r="D3052" s="17">
        <v>66</v>
      </c>
    </row>
    <row r="3053" spans="1:4" ht="21.75" customHeight="1">
      <c r="A3053" s="15" t="s">
        <v>75</v>
      </c>
      <c r="B3053" s="16" t="s">
        <v>76</v>
      </c>
      <c r="C3053" s="15" t="str">
        <f>"20190120620"</f>
        <v>20190120620</v>
      </c>
      <c r="D3053" s="17">
        <v>54</v>
      </c>
    </row>
    <row r="3054" spans="1:4" ht="21.75" customHeight="1">
      <c r="A3054" s="15" t="s">
        <v>75</v>
      </c>
      <c r="B3054" s="16" t="s">
        <v>76</v>
      </c>
      <c r="C3054" s="15" t="str">
        <f>"20190120621"</f>
        <v>20190120621</v>
      </c>
      <c r="D3054" s="17">
        <v>46</v>
      </c>
    </row>
    <row r="3055" spans="1:4" ht="21.75" customHeight="1">
      <c r="A3055" s="15" t="s">
        <v>75</v>
      </c>
      <c r="B3055" s="16" t="s">
        <v>76</v>
      </c>
      <c r="C3055" s="15" t="str">
        <f>"20190120622"</f>
        <v>20190120622</v>
      </c>
      <c r="D3055" s="17">
        <v>54</v>
      </c>
    </row>
    <row r="3056" spans="1:4" ht="21.75" customHeight="1">
      <c r="A3056" s="15" t="s">
        <v>75</v>
      </c>
      <c r="B3056" s="16" t="s">
        <v>76</v>
      </c>
      <c r="C3056" s="15" t="str">
        <f>"20190120623"</f>
        <v>20190120623</v>
      </c>
      <c r="D3056" s="17">
        <v>59</v>
      </c>
    </row>
    <row r="3057" spans="1:4" ht="21.75" customHeight="1">
      <c r="A3057" s="15" t="s">
        <v>75</v>
      </c>
      <c r="B3057" s="16" t="s">
        <v>76</v>
      </c>
      <c r="C3057" s="15" t="str">
        <f>"20190120624"</f>
        <v>20190120624</v>
      </c>
      <c r="D3057" s="17">
        <v>51.5</v>
      </c>
    </row>
    <row r="3058" spans="1:4" ht="21.75" customHeight="1">
      <c r="A3058" s="15" t="s">
        <v>75</v>
      </c>
      <c r="B3058" s="16" t="s">
        <v>76</v>
      </c>
      <c r="C3058" s="15" t="str">
        <f>"20190120625"</f>
        <v>20190120625</v>
      </c>
      <c r="D3058" s="17">
        <v>53.5</v>
      </c>
    </row>
    <row r="3059" spans="1:4" ht="21.75" customHeight="1">
      <c r="A3059" s="15" t="s">
        <v>75</v>
      </c>
      <c r="B3059" s="16" t="s">
        <v>76</v>
      </c>
      <c r="C3059" s="15" t="str">
        <f>"20190120626"</f>
        <v>20190120626</v>
      </c>
      <c r="D3059" s="17" t="s">
        <v>12</v>
      </c>
    </row>
    <row r="3060" spans="1:4" ht="21.75" customHeight="1">
      <c r="A3060" s="15" t="s">
        <v>75</v>
      </c>
      <c r="B3060" s="16" t="s">
        <v>76</v>
      </c>
      <c r="C3060" s="15" t="str">
        <f>"20190120627"</f>
        <v>20190120627</v>
      </c>
      <c r="D3060" s="17">
        <v>58</v>
      </c>
    </row>
    <row r="3061" spans="1:4" ht="21.75" customHeight="1">
      <c r="A3061" s="15" t="s">
        <v>75</v>
      </c>
      <c r="B3061" s="16" t="s">
        <v>76</v>
      </c>
      <c r="C3061" s="15" t="str">
        <f>"20190120628"</f>
        <v>20190120628</v>
      </c>
      <c r="D3061" s="17">
        <v>54</v>
      </c>
    </row>
    <row r="3062" spans="1:4" ht="21.75" customHeight="1">
      <c r="A3062" s="15" t="s">
        <v>75</v>
      </c>
      <c r="B3062" s="16" t="s">
        <v>76</v>
      </c>
      <c r="C3062" s="15" t="str">
        <f>"20190120629"</f>
        <v>20190120629</v>
      </c>
      <c r="D3062" s="17">
        <v>60</v>
      </c>
    </row>
    <row r="3063" spans="1:4" ht="21.75" customHeight="1">
      <c r="A3063" s="15" t="s">
        <v>75</v>
      </c>
      <c r="B3063" s="16" t="s">
        <v>76</v>
      </c>
      <c r="C3063" s="15" t="str">
        <f>"20190120630"</f>
        <v>20190120630</v>
      </c>
      <c r="D3063" s="17">
        <v>50</v>
      </c>
    </row>
    <row r="3064" spans="1:4" ht="21" customHeight="1">
      <c r="A3064" s="15" t="s">
        <v>75</v>
      </c>
      <c r="B3064" s="16" t="s">
        <v>76</v>
      </c>
      <c r="C3064" s="15" t="str">
        <f>"20190120701"</f>
        <v>20190120701</v>
      </c>
      <c r="D3064" s="17" t="s">
        <v>12</v>
      </c>
    </row>
    <row r="3065" spans="1:4" ht="21" customHeight="1">
      <c r="A3065" s="15" t="s">
        <v>75</v>
      </c>
      <c r="B3065" s="16" t="s">
        <v>76</v>
      </c>
      <c r="C3065" s="15" t="str">
        <f>"20190120702"</f>
        <v>20190120702</v>
      </c>
      <c r="D3065" s="17" t="s">
        <v>12</v>
      </c>
    </row>
    <row r="3066" spans="1:4" ht="21" customHeight="1">
      <c r="A3066" s="15" t="s">
        <v>75</v>
      </c>
      <c r="B3066" s="16" t="s">
        <v>76</v>
      </c>
      <c r="C3066" s="15" t="str">
        <f>"20190120703"</f>
        <v>20190120703</v>
      </c>
      <c r="D3066" s="17" t="s">
        <v>12</v>
      </c>
    </row>
    <row r="3067" spans="1:4" ht="21" customHeight="1">
      <c r="A3067" s="15" t="s">
        <v>75</v>
      </c>
      <c r="B3067" s="16" t="s">
        <v>76</v>
      </c>
      <c r="C3067" s="15" t="str">
        <f>"20190120704"</f>
        <v>20190120704</v>
      </c>
      <c r="D3067" s="17">
        <v>47</v>
      </c>
    </row>
    <row r="3068" spans="1:4" ht="21" customHeight="1">
      <c r="A3068" s="15" t="s">
        <v>75</v>
      </c>
      <c r="B3068" s="16" t="s">
        <v>76</v>
      </c>
      <c r="C3068" s="15" t="str">
        <f>"20190120705"</f>
        <v>20190120705</v>
      </c>
      <c r="D3068" s="17" t="s">
        <v>12</v>
      </c>
    </row>
    <row r="3069" spans="1:5" ht="21" customHeight="1">
      <c r="A3069" s="15" t="s">
        <v>75</v>
      </c>
      <c r="B3069" s="16" t="s">
        <v>76</v>
      </c>
      <c r="C3069" s="15" t="str">
        <f>"20190120706"</f>
        <v>20190120706</v>
      </c>
      <c r="D3069" s="17">
        <v>62.5</v>
      </c>
      <c r="E3069" s="19"/>
    </row>
    <row r="3070" spans="1:5" ht="21" customHeight="1">
      <c r="A3070" s="15" t="s">
        <v>75</v>
      </c>
      <c r="B3070" s="16" t="s">
        <v>76</v>
      </c>
      <c r="C3070" s="15" t="str">
        <f>"20190120707"</f>
        <v>20190120707</v>
      </c>
      <c r="D3070" s="17">
        <v>40</v>
      </c>
      <c r="E3070" s="19"/>
    </row>
    <row r="3071" spans="1:5" ht="21" customHeight="1">
      <c r="A3071" s="15" t="s">
        <v>75</v>
      </c>
      <c r="B3071" s="16" t="s">
        <v>76</v>
      </c>
      <c r="C3071" s="15" t="str">
        <f>"20190120708"</f>
        <v>20190120708</v>
      </c>
      <c r="D3071" s="17">
        <v>62.5</v>
      </c>
      <c r="E3071" s="19"/>
    </row>
    <row r="3072" spans="1:4" ht="21" customHeight="1">
      <c r="A3072" s="15" t="s">
        <v>75</v>
      </c>
      <c r="B3072" s="16" t="s">
        <v>76</v>
      </c>
      <c r="C3072" s="15" t="str">
        <f>"20190120709"</f>
        <v>20190120709</v>
      </c>
      <c r="D3072" s="17">
        <v>58.5</v>
      </c>
    </row>
    <row r="3073" spans="1:4" ht="21" customHeight="1">
      <c r="A3073" s="15" t="s">
        <v>75</v>
      </c>
      <c r="B3073" s="16" t="s">
        <v>76</v>
      </c>
      <c r="C3073" s="15" t="str">
        <f>"20190120710"</f>
        <v>20190120710</v>
      </c>
      <c r="D3073" s="17">
        <v>56.5</v>
      </c>
    </row>
    <row r="3074" spans="1:4" ht="21" customHeight="1">
      <c r="A3074" s="15" t="s">
        <v>75</v>
      </c>
      <c r="B3074" s="16" t="s">
        <v>76</v>
      </c>
      <c r="C3074" s="15" t="str">
        <f>"20190120711"</f>
        <v>20190120711</v>
      </c>
      <c r="D3074" s="17">
        <v>54</v>
      </c>
    </row>
    <row r="3075" spans="1:4" ht="21" customHeight="1">
      <c r="A3075" s="15" t="s">
        <v>75</v>
      </c>
      <c r="B3075" s="16" t="s">
        <v>76</v>
      </c>
      <c r="C3075" s="15" t="str">
        <f>"20190120712"</f>
        <v>20190120712</v>
      </c>
      <c r="D3075" s="17">
        <v>58.5</v>
      </c>
    </row>
    <row r="3076" spans="1:4" ht="21" customHeight="1">
      <c r="A3076" s="15" t="s">
        <v>75</v>
      </c>
      <c r="B3076" s="16" t="s">
        <v>76</v>
      </c>
      <c r="C3076" s="15" t="str">
        <f>"20190120713"</f>
        <v>20190120713</v>
      </c>
      <c r="D3076" s="17" t="s">
        <v>12</v>
      </c>
    </row>
    <row r="3077" spans="1:4" ht="21" customHeight="1">
      <c r="A3077" s="15" t="s">
        <v>75</v>
      </c>
      <c r="B3077" s="16" t="s">
        <v>76</v>
      </c>
      <c r="C3077" s="15" t="str">
        <f>"20190120714"</f>
        <v>20190120714</v>
      </c>
      <c r="D3077" s="17">
        <v>53.5</v>
      </c>
    </row>
    <row r="3078" spans="1:4" ht="21" customHeight="1">
      <c r="A3078" s="15" t="s">
        <v>75</v>
      </c>
      <c r="B3078" s="16" t="s">
        <v>76</v>
      </c>
      <c r="C3078" s="15" t="str">
        <f>"20190120715"</f>
        <v>20190120715</v>
      </c>
      <c r="D3078" s="17">
        <v>57.5</v>
      </c>
    </row>
    <row r="3079" spans="1:4" ht="21" customHeight="1">
      <c r="A3079" s="15" t="s">
        <v>75</v>
      </c>
      <c r="B3079" s="16" t="s">
        <v>76</v>
      </c>
      <c r="C3079" s="15" t="str">
        <f>"20190120716"</f>
        <v>20190120716</v>
      </c>
      <c r="D3079" s="17">
        <v>61</v>
      </c>
    </row>
    <row r="3080" spans="1:4" ht="21" customHeight="1">
      <c r="A3080" s="15" t="s">
        <v>75</v>
      </c>
      <c r="B3080" s="16" t="s">
        <v>76</v>
      </c>
      <c r="C3080" s="15" t="str">
        <f>"20190120717"</f>
        <v>20190120717</v>
      </c>
      <c r="D3080" s="17" t="s">
        <v>12</v>
      </c>
    </row>
    <row r="3081" spans="1:4" ht="21" customHeight="1">
      <c r="A3081" s="15" t="s">
        <v>75</v>
      </c>
      <c r="B3081" s="16" t="s">
        <v>76</v>
      </c>
      <c r="C3081" s="15" t="str">
        <f>"20190120718"</f>
        <v>20190120718</v>
      </c>
      <c r="D3081" s="17">
        <v>64.5</v>
      </c>
    </row>
    <row r="3082" spans="1:4" ht="21" customHeight="1">
      <c r="A3082" s="15" t="s">
        <v>75</v>
      </c>
      <c r="B3082" s="16" t="s">
        <v>76</v>
      </c>
      <c r="C3082" s="15" t="str">
        <f>"20190120719"</f>
        <v>20190120719</v>
      </c>
      <c r="D3082" s="17">
        <v>53</v>
      </c>
    </row>
    <row r="3083" spans="1:4" ht="21" customHeight="1">
      <c r="A3083" s="15" t="s">
        <v>75</v>
      </c>
      <c r="B3083" s="16" t="s">
        <v>76</v>
      </c>
      <c r="C3083" s="15" t="str">
        <f>"20190120720"</f>
        <v>20190120720</v>
      </c>
      <c r="D3083" s="17">
        <v>57.5</v>
      </c>
    </row>
    <row r="3084" spans="1:4" ht="21" customHeight="1">
      <c r="A3084" s="15" t="s">
        <v>75</v>
      </c>
      <c r="B3084" s="16" t="s">
        <v>76</v>
      </c>
      <c r="C3084" s="15" t="str">
        <f>"20190120721"</f>
        <v>20190120721</v>
      </c>
      <c r="D3084" s="17">
        <v>49.5</v>
      </c>
    </row>
    <row r="3085" spans="1:4" ht="21" customHeight="1">
      <c r="A3085" s="15" t="s">
        <v>75</v>
      </c>
      <c r="B3085" s="16" t="s">
        <v>76</v>
      </c>
      <c r="C3085" s="15" t="str">
        <f>"20190120722"</f>
        <v>20190120722</v>
      </c>
      <c r="D3085" s="17" t="s">
        <v>12</v>
      </c>
    </row>
    <row r="3086" spans="1:4" ht="21" customHeight="1">
      <c r="A3086" s="15" t="s">
        <v>75</v>
      </c>
      <c r="B3086" s="16" t="s">
        <v>76</v>
      </c>
      <c r="C3086" s="15" t="str">
        <f>"20190120723"</f>
        <v>20190120723</v>
      </c>
      <c r="D3086" s="17" t="s">
        <v>12</v>
      </c>
    </row>
    <row r="3087" spans="1:4" ht="21" customHeight="1">
      <c r="A3087" s="15" t="s">
        <v>75</v>
      </c>
      <c r="B3087" s="16" t="s">
        <v>76</v>
      </c>
      <c r="C3087" s="15" t="str">
        <f>"20190120724"</f>
        <v>20190120724</v>
      </c>
      <c r="D3087" s="17">
        <v>54</v>
      </c>
    </row>
    <row r="3088" spans="1:4" ht="21" customHeight="1">
      <c r="A3088" s="15" t="s">
        <v>75</v>
      </c>
      <c r="B3088" s="16" t="s">
        <v>76</v>
      </c>
      <c r="C3088" s="15" t="str">
        <f>"20190120725"</f>
        <v>20190120725</v>
      </c>
      <c r="D3088" s="17">
        <v>54</v>
      </c>
    </row>
    <row r="3089" spans="1:4" ht="21" customHeight="1">
      <c r="A3089" s="15" t="s">
        <v>75</v>
      </c>
      <c r="B3089" s="16" t="s">
        <v>76</v>
      </c>
      <c r="C3089" s="15" t="str">
        <f>"20190120726"</f>
        <v>20190120726</v>
      </c>
      <c r="D3089" s="17">
        <v>57</v>
      </c>
    </row>
    <row r="3090" spans="1:4" ht="21" customHeight="1">
      <c r="A3090" s="15" t="s">
        <v>75</v>
      </c>
      <c r="B3090" s="16" t="s">
        <v>76</v>
      </c>
      <c r="C3090" s="15" t="str">
        <f>"20190120727"</f>
        <v>20190120727</v>
      </c>
      <c r="D3090" s="17" t="s">
        <v>12</v>
      </c>
    </row>
    <row r="3091" spans="1:4" ht="21" customHeight="1">
      <c r="A3091" s="20" t="s">
        <v>75</v>
      </c>
      <c r="B3091" s="21" t="s">
        <v>77</v>
      </c>
      <c r="C3091" s="15" t="str">
        <f>"20190120728"</f>
        <v>20190120728</v>
      </c>
      <c r="D3091" s="17">
        <v>59.5</v>
      </c>
    </row>
    <row r="3092" spans="1:4" ht="21" customHeight="1">
      <c r="A3092" s="20" t="s">
        <v>75</v>
      </c>
      <c r="B3092" s="21" t="s">
        <v>77</v>
      </c>
      <c r="C3092" s="15" t="str">
        <f>"20190120729"</f>
        <v>20190120729</v>
      </c>
      <c r="D3092" s="17">
        <v>56.5</v>
      </c>
    </row>
    <row r="3093" spans="1:5" ht="21" customHeight="1">
      <c r="A3093" s="20" t="s">
        <v>75</v>
      </c>
      <c r="B3093" s="21" t="s">
        <v>77</v>
      </c>
      <c r="C3093" s="15" t="str">
        <f>"20190120730"</f>
        <v>20190120730</v>
      </c>
      <c r="D3093" s="17">
        <v>65.5</v>
      </c>
      <c r="E3093" s="18" t="s">
        <v>9</v>
      </c>
    </row>
    <row r="3094" spans="1:4" ht="21" customHeight="1">
      <c r="A3094" s="20" t="s">
        <v>75</v>
      </c>
      <c r="B3094" s="21" t="s">
        <v>77</v>
      </c>
      <c r="C3094" s="15" t="str">
        <f>"20190120731"</f>
        <v>20190120731</v>
      </c>
      <c r="D3094" s="17" t="s">
        <v>12</v>
      </c>
    </row>
    <row r="3095" spans="1:5" ht="21" customHeight="1">
      <c r="A3095" s="20" t="s">
        <v>75</v>
      </c>
      <c r="B3095" s="21" t="s">
        <v>77</v>
      </c>
      <c r="C3095" s="15" t="str">
        <f>"20190120801"</f>
        <v>20190120801</v>
      </c>
      <c r="D3095" s="17">
        <v>64</v>
      </c>
      <c r="E3095" s="18" t="s">
        <v>9</v>
      </c>
    </row>
    <row r="3096" spans="1:4" ht="21" customHeight="1">
      <c r="A3096" s="20" t="s">
        <v>75</v>
      </c>
      <c r="B3096" s="21" t="s">
        <v>77</v>
      </c>
      <c r="C3096" s="15" t="str">
        <f>"20190120802"</f>
        <v>20190120802</v>
      </c>
      <c r="D3096" s="17" t="s">
        <v>12</v>
      </c>
    </row>
    <row r="3097" spans="1:5" ht="21" customHeight="1">
      <c r="A3097" s="20" t="s">
        <v>75</v>
      </c>
      <c r="B3097" s="21" t="s">
        <v>77</v>
      </c>
      <c r="C3097" s="15" t="str">
        <f>"20190120803"</f>
        <v>20190120803</v>
      </c>
      <c r="D3097" s="17">
        <v>66.5</v>
      </c>
      <c r="E3097" s="18" t="s">
        <v>9</v>
      </c>
    </row>
    <row r="3098" spans="1:4" ht="21" customHeight="1">
      <c r="A3098" s="15" t="s">
        <v>78</v>
      </c>
      <c r="B3098" s="16" t="s">
        <v>79</v>
      </c>
      <c r="C3098" s="15" t="str">
        <f>"20190120804"</f>
        <v>20190120804</v>
      </c>
      <c r="D3098" s="17">
        <v>58.5</v>
      </c>
    </row>
    <row r="3099" spans="1:5" ht="21" customHeight="1">
      <c r="A3099" s="15" t="s">
        <v>78</v>
      </c>
      <c r="B3099" s="16" t="s">
        <v>79</v>
      </c>
      <c r="C3099" s="15" t="str">
        <f>"20190120805"</f>
        <v>20190120805</v>
      </c>
      <c r="D3099" s="17">
        <v>67.5</v>
      </c>
      <c r="E3099" s="18" t="s">
        <v>9</v>
      </c>
    </row>
    <row r="3100" spans="1:5" ht="21" customHeight="1">
      <c r="A3100" s="15" t="s">
        <v>78</v>
      </c>
      <c r="B3100" s="16" t="s">
        <v>79</v>
      </c>
      <c r="C3100" s="15" t="str">
        <f>"20190120806"</f>
        <v>20190120806</v>
      </c>
      <c r="D3100" s="17">
        <v>69</v>
      </c>
      <c r="E3100" s="18" t="s">
        <v>9</v>
      </c>
    </row>
    <row r="3101" spans="1:4" ht="21" customHeight="1">
      <c r="A3101" s="15" t="s">
        <v>78</v>
      </c>
      <c r="B3101" s="16" t="s">
        <v>79</v>
      </c>
      <c r="C3101" s="15" t="str">
        <f>"20190120807"</f>
        <v>20190120807</v>
      </c>
      <c r="D3101" s="17">
        <v>62</v>
      </c>
    </row>
    <row r="3102" spans="1:4" ht="21" customHeight="1">
      <c r="A3102" s="15" t="s">
        <v>78</v>
      </c>
      <c r="B3102" s="16" t="s">
        <v>79</v>
      </c>
      <c r="C3102" s="15" t="str">
        <f>"20190120808"</f>
        <v>20190120808</v>
      </c>
      <c r="D3102" s="17">
        <v>62</v>
      </c>
    </row>
    <row r="3103" spans="1:4" ht="21" customHeight="1">
      <c r="A3103" s="15" t="s">
        <v>78</v>
      </c>
      <c r="B3103" s="16" t="s">
        <v>79</v>
      </c>
      <c r="C3103" s="15" t="str">
        <f>"20190120809"</f>
        <v>20190120809</v>
      </c>
      <c r="D3103" s="17">
        <v>63</v>
      </c>
    </row>
    <row r="3104" spans="1:4" ht="21" customHeight="1">
      <c r="A3104" s="15" t="s">
        <v>78</v>
      </c>
      <c r="B3104" s="16" t="s">
        <v>79</v>
      </c>
      <c r="C3104" s="15" t="str">
        <f>"20190120810"</f>
        <v>20190120810</v>
      </c>
      <c r="D3104" s="17">
        <v>61.5</v>
      </c>
    </row>
    <row r="3105" spans="1:5" ht="21" customHeight="1">
      <c r="A3105" s="15" t="s">
        <v>78</v>
      </c>
      <c r="B3105" s="16" t="s">
        <v>79</v>
      </c>
      <c r="C3105" s="15" t="str">
        <f>"20190120811"</f>
        <v>20190120811</v>
      </c>
      <c r="D3105" s="17">
        <v>65.5</v>
      </c>
      <c r="E3105" s="18" t="s">
        <v>9</v>
      </c>
    </row>
    <row r="3106" spans="1:4" ht="21" customHeight="1">
      <c r="A3106" s="20" t="s">
        <v>78</v>
      </c>
      <c r="B3106" s="21" t="s">
        <v>80</v>
      </c>
      <c r="C3106" s="15" t="str">
        <f>"20190120812"</f>
        <v>20190120812</v>
      </c>
      <c r="D3106" s="17">
        <v>61</v>
      </c>
    </row>
    <row r="3107" spans="1:5" ht="21" customHeight="1">
      <c r="A3107" s="20" t="s">
        <v>78</v>
      </c>
      <c r="B3107" s="21" t="s">
        <v>80</v>
      </c>
      <c r="C3107" s="15" t="str">
        <f>"20190120813"</f>
        <v>20190120813</v>
      </c>
      <c r="D3107" s="17">
        <v>66</v>
      </c>
      <c r="E3107" s="18" t="s">
        <v>9</v>
      </c>
    </row>
    <row r="3108" spans="1:5" ht="21" customHeight="1">
      <c r="A3108" s="20" t="s">
        <v>78</v>
      </c>
      <c r="B3108" s="21" t="s">
        <v>80</v>
      </c>
      <c r="C3108" s="15" t="str">
        <f>"20190120814"</f>
        <v>20190120814</v>
      </c>
      <c r="D3108" s="17">
        <v>69.5</v>
      </c>
      <c r="E3108" s="18" t="s">
        <v>9</v>
      </c>
    </row>
    <row r="3109" spans="1:4" ht="21" customHeight="1">
      <c r="A3109" s="20" t="s">
        <v>78</v>
      </c>
      <c r="B3109" s="21" t="s">
        <v>80</v>
      </c>
      <c r="C3109" s="15" t="str">
        <f>"20190120815"</f>
        <v>20190120815</v>
      </c>
      <c r="D3109" s="17">
        <v>54.5</v>
      </c>
    </row>
    <row r="3110" spans="1:4" ht="21" customHeight="1">
      <c r="A3110" s="20" t="s">
        <v>78</v>
      </c>
      <c r="B3110" s="21" t="s">
        <v>80</v>
      </c>
      <c r="C3110" s="15" t="str">
        <f>"20190120816"</f>
        <v>20190120816</v>
      </c>
      <c r="D3110" s="17">
        <v>64</v>
      </c>
    </row>
    <row r="3111" spans="1:5" ht="21" customHeight="1">
      <c r="A3111" s="20" t="s">
        <v>78</v>
      </c>
      <c r="B3111" s="21" t="s">
        <v>80</v>
      </c>
      <c r="C3111" s="15" t="str">
        <f>"20190120817"</f>
        <v>20190120817</v>
      </c>
      <c r="D3111" s="17">
        <v>71</v>
      </c>
      <c r="E3111" s="18" t="s">
        <v>9</v>
      </c>
    </row>
    <row r="3112" spans="1:4" ht="21" customHeight="1">
      <c r="A3112" s="20" t="s">
        <v>78</v>
      </c>
      <c r="B3112" s="21" t="s">
        <v>80</v>
      </c>
      <c r="C3112" s="15" t="str">
        <f>"20190120818"</f>
        <v>20190120818</v>
      </c>
      <c r="D3112" s="17">
        <v>62</v>
      </c>
    </row>
    <row r="3113" spans="1:4" ht="21" customHeight="1">
      <c r="A3113" s="20" t="s">
        <v>78</v>
      </c>
      <c r="B3113" s="21" t="s">
        <v>80</v>
      </c>
      <c r="C3113" s="15" t="str">
        <f>"20190120819"</f>
        <v>20190120819</v>
      </c>
      <c r="D3113" s="17">
        <v>61.5</v>
      </c>
    </row>
    <row r="3114" spans="1:4" ht="21" customHeight="1">
      <c r="A3114" s="20" t="s">
        <v>78</v>
      </c>
      <c r="B3114" s="21" t="s">
        <v>80</v>
      </c>
      <c r="C3114" s="15" t="str">
        <f>"20190120820"</f>
        <v>20190120820</v>
      </c>
      <c r="D3114" s="17" t="s">
        <v>12</v>
      </c>
    </row>
    <row r="3115" spans="1:4" ht="21" customHeight="1">
      <c r="A3115" s="20" t="s">
        <v>78</v>
      </c>
      <c r="B3115" s="21" t="s">
        <v>80</v>
      </c>
      <c r="C3115" s="15" t="str">
        <f>"20190120821"</f>
        <v>20190120821</v>
      </c>
      <c r="D3115" s="17">
        <v>56.5</v>
      </c>
    </row>
    <row r="3116" spans="1:4" ht="21" customHeight="1">
      <c r="A3116" s="20" t="s">
        <v>78</v>
      </c>
      <c r="B3116" s="21" t="s">
        <v>80</v>
      </c>
      <c r="C3116" s="15" t="str">
        <f>"20190120822"</f>
        <v>20190120822</v>
      </c>
      <c r="D3116" s="17">
        <v>55.5</v>
      </c>
    </row>
    <row r="3117" spans="1:4" ht="21" customHeight="1">
      <c r="A3117" s="20" t="s">
        <v>78</v>
      </c>
      <c r="B3117" s="21" t="s">
        <v>80</v>
      </c>
      <c r="C3117" s="15" t="str">
        <f>"20190120823"</f>
        <v>20190120823</v>
      </c>
      <c r="D3117" s="17" t="s">
        <v>12</v>
      </c>
    </row>
    <row r="3118" spans="1:4" ht="21" customHeight="1">
      <c r="A3118" s="20" t="s">
        <v>78</v>
      </c>
      <c r="B3118" s="21" t="s">
        <v>80</v>
      </c>
      <c r="C3118" s="15" t="str">
        <f>"20190120824"</f>
        <v>20190120824</v>
      </c>
      <c r="D3118" s="17">
        <v>63</v>
      </c>
    </row>
    <row r="3119" spans="1:5" ht="21" customHeight="1">
      <c r="A3119" s="20" t="s">
        <v>78</v>
      </c>
      <c r="B3119" s="21" t="s">
        <v>80</v>
      </c>
      <c r="C3119" s="15" t="str">
        <f>"20190120825"</f>
        <v>20190120825</v>
      </c>
      <c r="D3119" s="17">
        <v>60</v>
      </c>
      <c r="E3119" s="19"/>
    </row>
    <row r="3120" spans="1:5" ht="21" customHeight="1">
      <c r="A3120" s="20" t="s">
        <v>78</v>
      </c>
      <c r="B3120" s="21" t="s">
        <v>80</v>
      </c>
      <c r="C3120" s="15" t="str">
        <f>"20190120826"</f>
        <v>20190120826</v>
      </c>
      <c r="D3120" s="17">
        <v>66</v>
      </c>
      <c r="E3120" s="18" t="s">
        <v>9</v>
      </c>
    </row>
    <row r="3121" spans="1:5" ht="21" customHeight="1">
      <c r="A3121" s="20" t="s">
        <v>78</v>
      </c>
      <c r="B3121" s="21" t="s">
        <v>80</v>
      </c>
      <c r="C3121" s="15" t="str">
        <f>"20190120827"</f>
        <v>20190120827</v>
      </c>
      <c r="D3121" s="17">
        <v>61.5</v>
      </c>
      <c r="E3121" s="19"/>
    </row>
    <row r="3122" spans="1:4" ht="21" customHeight="1">
      <c r="A3122" s="20" t="s">
        <v>78</v>
      </c>
      <c r="B3122" s="21" t="s">
        <v>80</v>
      </c>
      <c r="C3122" s="15" t="str">
        <f>"20190120828"</f>
        <v>20190120828</v>
      </c>
      <c r="D3122" s="17">
        <v>61.5</v>
      </c>
    </row>
    <row r="3123" spans="1:4" ht="21" customHeight="1">
      <c r="A3123" s="20" t="s">
        <v>78</v>
      </c>
      <c r="B3123" s="21" t="s">
        <v>80</v>
      </c>
      <c r="C3123" s="15" t="str">
        <f>"20190120829"</f>
        <v>20190120829</v>
      </c>
      <c r="D3123" s="17">
        <v>56.5</v>
      </c>
    </row>
    <row r="3124" spans="1:4" ht="21" customHeight="1">
      <c r="A3124" s="20" t="s">
        <v>78</v>
      </c>
      <c r="B3124" s="21" t="s">
        <v>80</v>
      </c>
      <c r="C3124" s="15" t="str">
        <f>"20190120830"</f>
        <v>20190120830</v>
      </c>
      <c r="D3124" s="17">
        <v>58</v>
      </c>
    </row>
    <row r="3125" spans="1:4" ht="21" customHeight="1">
      <c r="A3125" s="20" t="s">
        <v>78</v>
      </c>
      <c r="B3125" s="21" t="s">
        <v>80</v>
      </c>
      <c r="C3125" s="15" t="str">
        <f>"20190120831"</f>
        <v>20190120831</v>
      </c>
      <c r="D3125" s="17" t="s">
        <v>12</v>
      </c>
    </row>
    <row r="3126" ht="13.5">
      <c r="E3126" s="23"/>
    </row>
    <row r="3127" ht="13.5">
      <c r="E3127" s="23"/>
    </row>
    <row r="3128" ht="13.5">
      <c r="E3128" s="23"/>
    </row>
    <row r="3129" ht="13.5">
      <c r="E3129" s="23"/>
    </row>
    <row r="3130" ht="13.5">
      <c r="E3130" s="23"/>
    </row>
    <row r="3131" ht="13.5">
      <c r="E3131" s="23"/>
    </row>
    <row r="3132" ht="13.5">
      <c r="E3132" s="23"/>
    </row>
    <row r="3133" ht="13.5">
      <c r="E3133" s="23"/>
    </row>
    <row r="3134" ht="13.5">
      <c r="E3134" s="23"/>
    </row>
    <row r="3135" ht="13.5">
      <c r="E3135" s="23"/>
    </row>
    <row r="3136" ht="13.5">
      <c r="E3136" s="23"/>
    </row>
    <row r="3137" ht="13.5">
      <c r="E3137" s="23"/>
    </row>
    <row r="3138" ht="13.5">
      <c r="E3138" s="23"/>
    </row>
    <row r="3139" ht="13.5">
      <c r="E3139" s="23"/>
    </row>
    <row r="3140" ht="13.5">
      <c r="E3140" s="23"/>
    </row>
    <row r="3141" ht="13.5">
      <c r="E3141" s="23"/>
    </row>
    <row r="3142" ht="13.5">
      <c r="E3142" s="23"/>
    </row>
    <row r="3143" ht="13.5">
      <c r="E3143" s="23"/>
    </row>
    <row r="3144" ht="13.5">
      <c r="E3144" s="23"/>
    </row>
    <row r="3145" ht="13.5">
      <c r="E3145" s="23"/>
    </row>
    <row r="3146" ht="13.5">
      <c r="E3146" s="23"/>
    </row>
    <row r="3147" ht="13.5">
      <c r="E3147" s="23"/>
    </row>
    <row r="3148" ht="13.5">
      <c r="E3148" s="24"/>
    </row>
    <row r="3149" ht="13.5">
      <c r="E3149" s="25"/>
    </row>
    <row r="3150" ht="13.5">
      <c r="E3150" s="25"/>
    </row>
    <row r="3151" ht="13.5">
      <c r="E3151" s="25"/>
    </row>
    <row r="3152" ht="13.5">
      <c r="E3152" s="25"/>
    </row>
    <row r="3153" ht="13.5">
      <c r="E3153" s="25"/>
    </row>
    <row r="3154" ht="13.5">
      <c r="E3154" s="25"/>
    </row>
    <row r="3155" ht="13.5">
      <c r="E3155" s="25"/>
    </row>
    <row r="3156" ht="13.5">
      <c r="E3156" s="25"/>
    </row>
    <row r="3157" ht="13.5">
      <c r="E3157" s="25"/>
    </row>
    <row r="3158" ht="13.5">
      <c r="E3158" s="25"/>
    </row>
    <row r="3159" ht="13.5">
      <c r="E3159" s="25"/>
    </row>
    <row r="3160" ht="13.5">
      <c r="E3160" s="25"/>
    </row>
    <row r="3161" ht="13.5">
      <c r="E3161" s="25"/>
    </row>
    <row r="3162" ht="13.5">
      <c r="E3162" s="25"/>
    </row>
    <row r="3163" ht="13.5">
      <c r="E3163" s="25"/>
    </row>
    <row r="3164" ht="13.5">
      <c r="E3164" s="25"/>
    </row>
    <row r="3165" ht="13.5">
      <c r="E3165" s="25"/>
    </row>
    <row r="3166" ht="13.5">
      <c r="E3166" s="25"/>
    </row>
    <row r="3167" ht="13.5">
      <c r="E3167" s="25"/>
    </row>
    <row r="3168" ht="13.5">
      <c r="E3168" s="25"/>
    </row>
    <row r="3169" ht="13.5">
      <c r="E3169" s="25"/>
    </row>
    <row r="3170" ht="13.5">
      <c r="E3170" s="25"/>
    </row>
    <row r="3171" ht="13.5">
      <c r="E3171" s="25"/>
    </row>
    <row r="3172" ht="13.5">
      <c r="E3172" s="25"/>
    </row>
    <row r="3173" ht="13.5">
      <c r="E3173" s="25"/>
    </row>
    <row r="3174" ht="13.5">
      <c r="E3174" s="25"/>
    </row>
    <row r="3175" ht="13.5">
      <c r="E3175" s="25"/>
    </row>
    <row r="3176" ht="13.5">
      <c r="E3176" s="25"/>
    </row>
    <row r="3177" ht="13.5">
      <c r="E3177" s="25"/>
    </row>
    <row r="3178" ht="13.5">
      <c r="E3178" s="25"/>
    </row>
    <row r="3179" ht="13.5">
      <c r="E3179" s="25"/>
    </row>
    <row r="3180" ht="13.5">
      <c r="E3180" s="25"/>
    </row>
    <row r="3181" ht="13.5">
      <c r="E3181" s="25"/>
    </row>
    <row r="3182" ht="13.5">
      <c r="E3182" s="25"/>
    </row>
    <row r="3183" ht="13.5">
      <c r="E3183" s="25"/>
    </row>
    <row r="3184" ht="13.5">
      <c r="E3184" s="25"/>
    </row>
    <row r="3185" ht="13.5">
      <c r="E3185" s="25"/>
    </row>
    <row r="3186" ht="13.5">
      <c r="E3186" s="25"/>
    </row>
    <row r="3187" ht="13.5">
      <c r="E3187" s="25"/>
    </row>
    <row r="3188" ht="13.5">
      <c r="E3188" s="25"/>
    </row>
    <row r="3189" ht="13.5">
      <c r="E3189" s="25"/>
    </row>
    <row r="3190" ht="13.5">
      <c r="E3190" s="25"/>
    </row>
    <row r="3191" ht="13.5">
      <c r="E3191" s="25"/>
    </row>
    <row r="3192" ht="13.5">
      <c r="E3192" s="25"/>
    </row>
    <row r="3193" ht="13.5">
      <c r="E3193" s="25"/>
    </row>
    <row r="3194" ht="13.5">
      <c r="E3194" s="25"/>
    </row>
  </sheetData>
  <sheetProtection/>
  <autoFilter ref="E3:E3195"/>
  <mergeCells count="1">
    <mergeCell ref="A2:E2"/>
  </mergeCells>
  <printOptions horizontalCentered="1"/>
  <pageMargins left="0.7" right="0.7" top="0.9840277777777777" bottom="0.9840277777777777" header="0.2986111111111111" footer="0.298611111111111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lws</dc:creator>
  <cp:keywords/>
  <dc:description/>
  <cp:lastModifiedBy>神哭小斧</cp:lastModifiedBy>
  <dcterms:created xsi:type="dcterms:W3CDTF">2019-10-14T06:21:44Z</dcterms:created>
  <dcterms:modified xsi:type="dcterms:W3CDTF">2019-10-28T06:28:20Z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