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146_5d63876d9e51f" sheetId="1" r:id="rId1"/>
  </sheets>
  <definedNames>
    <definedName name="_xlnm._FilterDatabase" localSheetId="0" hidden="1">'2146_5d63876d9e51f'!$A$2:$I$1406</definedName>
  </definedNames>
  <calcPr calcId="144525"/>
</workbook>
</file>

<file path=xl/sharedStrings.xml><?xml version="1.0" encoding="utf-8"?>
<sst xmlns="http://schemas.openxmlformats.org/spreadsheetml/2006/main" count="1436" uniqueCount="15">
  <si>
    <t>海口市龙华区2019年幼儿园教师招聘资格初审合格人员名单</t>
  </si>
  <si>
    <t>报考号</t>
  </si>
  <si>
    <t>报考岗位</t>
  </si>
  <si>
    <t>姓名</t>
  </si>
  <si>
    <t>性别</t>
  </si>
  <si>
    <t>身份证号码</t>
  </si>
  <si>
    <t>毕业院校</t>
  </si>
  <si>
    <t>所学专业</t>
  </si>
  <si>
    <t>学历</t>
  </si>
  <si>
    <t>教师资格证种类</t>
  </si>
  <si>
    <t>0101_幼儿园1</t>
  </si>
  <si>
    <t>0201_幼儿园2</t>
  </si>
  <si>
    <t>0301_幼儿园3</t>
  </si>
  <si>
    <t>专科</t>
  </si>
  <si>
    <t>学前教育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</si>
</sst>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3" fillId="6" borderId="3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06"/>
  <sheetViews>
    <sheetView tabSelected="1" workbookViewId="0">
      <selection activeCell="M9" sqref="M9"/>
    </sheetView>
  </sheetViews>
  <sheetFormatPr defaultColWidth="9" defaultRowHeight="24" customHeight="1"/>
  <cols>
    <col min="1" max="1" width="6.625" style="2" customWidth="1"/>
    <col min="2" max="2" width="13.5" customWidth="1"/>
    <col min="3" max="3" width="9.125" style="1" customWidth="1"/>
    <col min="4" max="4" width="4.875" style="1" customWidth="1"/>
    <col min="5" max="5" width="20.5" customWidth="1"/>
    <col min="6" max="6" width="25.125" customWidth="1"/>
    <col min="7" max="7" width="12.25" customWidth="1"/>
    <col min="8" max="8" width="7.5" customWidth="1"/>
    <col min="9" max="9" width="15.375" customWidth="1"/>
  </cols>
  <sheetData>
    <row r="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Height="1" spans="1:9">
      <c r="A3" s="6">
        <v>1</v>
      </c>
      <c r="B3" s="7" t="s">
        <v>10</v>
      </c>
      <c r="C3" s="8" t="str">
        <f>"周五爱"</f>
        <v>周五爱</v>
      </c>
      <c r="D3" s="8" t="str">
        <f t="shared" ref="D3:D66" si="0">"女"</f>
        <v>女</v>
      </c>
      <c r="E3" s="7" t="str">
        <f>"460003199208143429"</f>
        <v>460003199208143429</v>
      </c>
      <c r="F3" s="7" t="str">
        <f>"海南琼台师范高等专科学校"</f>
        <v>海南琼台师范高等专科学校</v>
      </c>
      <c r="G3" s="7" t="str">
        <f t="shared" ref="G3:G12" si="1">"学前教育"</f>
        <v>学前教育</v>
      </c>
      <c r="H3" s="7" t="str">
        <f t="shared" ref="H3:H9" si="2">"专科"</f>
        <v>专科</v>
      </c>
      <c r="I3" s="7" t="str">
        <f t="shared" ref="I3:I66" si="3">"幼儿园教师资格"</f>
        <v>幼儿园教师资格</v>
      </c>
    </row>
    <row r="4" customHeight="1" spans="1:9">
      <c r="A4" s="6">
        <v>2</v>
      </c>
      <c r="B4" s="7" t="s">
        <v>10</v>
      </c>
      <c r="C4" s="8" t="str">
        <f>"黄仪"</f>
        <v>黄仪</v>
      </c>
      <c r="D4" s="8" t="str">
        <f t="shared" si="0"/>
        <v>女</v>
      </c>
      <c r="E4" s="7" t="str">
        <f>"460003199301258327"</f>
        <v>460003199301258327</v>
      </c>
      <c r="F4" s="7" t="str">
        <f>"华南师范大学"</f>
        <v>华南师范大学</v>
      </c>
      <c r="G4" s="7" t="str">
        <f t="shared" si="1"/>
        <v>学前教育</v>
      </c>
      <c r="H4" s="7" t="str">
        <f t="shared" si="2"/>
        <v>专科</v>
      </c>
      <c r="I4" s="7" t="str">
        <f t="shared" si="3"/>
        <v>幼儿园教师资格</v>
      </c>
    </row>
    <row r="5" customHeight="1" spans="1:9">
      <c r="A5" s="6">
        <v>3</v>
      </c>
      <c r="B5" s="7" t="s">
        <v>10</v>
      </c>
      <c r="C5" s="8" t="str">
        <f>"李珍"</f>
        <v>李珍</v>
      </c>
      <c r="D5" s="8" t="str">
        <f t="shared" si="0"/>
        <v>女</v>
      </c>
      <c r="E5" s="7" t="str">
        <f>"460003199508010441"</f>
        <v>460003199508010441</v>
      </c>
      <c r="F5" s="7" t="str">
        <f t="shared" ref="F5:F10" si="4">"海南热带海洋学院"</f>
        <v>海南热带海洋学院</v>
      </c>
      <c r="G5" s="7" t="str">
        <f t="shared" si="1"/>
        <v>学前教育</v>
      </c>
      <c r="H5" s="7" t="str">
        <f t="shared" si="2"/>
        <v>专科</v>
      </c>
      <c r="I5" s="7" t="str">
        <f t="shared" si="3"/>
        <v>幼儿园教师资格</v>
      </c>
    </row>
    <row r="6" customHeight="1" spans="1:9">
      <c r="A6" s="6">
        <v>4</v>
      </c>
      <c r="B6" s="7" t="s">
        <v>11</v>
      </c>
      <c r="C6" s="8" t="str">
        <f>"陈娇娇"</f>
        <v>陈娇娇</v>
      </c>
      <c r="D6" s="8" t="str">
        <f t="shared" si="0"/>
        <v>女</v>
      </c>
      <c r="E6" s="7" t="str">
        <f>"460007199612032048"</f>
        <v>460007199612032048</v>
      </c>
      <c r="F6" s="7" t="str">
        <f>"肇庆学院"</f>
        <v>肇庆学院</v>
      </c>
      <c r="G6" s="7" t="str">
        <f>"学前教育学"</f>
        <v>学前教育学</v>
      </c>
      <c r="H6" s="7" t="str">
        <f t="shared" si="2"/>
        <v>专科</v>
      </c>
      <c r="I6" s="7" t="str">
        <f t="shared" si="3"/>
        <v>幼儿园教师资格</v>
      </c>
    </row>
    <row r="7" customHeight="1" spans="1:9">
      <c r="A7" s="9">
        <v>5</v>
      </c>
      <c r="B7" s="10" t="s">
        <v>10</v>
      </c>
      <c r="C7" s="11" t="str">
        <f>"陈如"</f>
        <v>陈如</v>
      </c>
      <c r="D7" s="11" t="str">
        <f t="shared" si="0"/>
        <v>女</v>
      </c>
      <c r="E7" s="10" t="str">
        <f>"460003199607010025"</f>
        <v>460003199607010025</v>
      </c>
      <c r="F7" s="10" t="str">
        <f>"琼台师范学院"</f>
        <v>琼台师范学院</v>
      </c>
      <c r="G7" s="10" t="str">
        <f>"学前教育"</f>
        <v>学前教育</v>
      </c>
      <c r="H7" s="10" t="str">
        <f t="shared" si="2"/>
        <v>专科</v>
      </c>
      <c r="I7" s="10" t="str">
        <f t="shared" si="3"/>
        <v>幼儿园教师资格</v>
      </c>
    </row>
    <row r="8" customHeight="1" spans="1:9">
      <c r="A8" s="6">
        <v>6</v>
      </c>
      <c r="B8" s="7" t="s">
        <v>12</v>
      </c>
      <c r="C8" s="8" t="str">
        <f>"王梦妮"</f>
        <v>王梦妮</v>
      </c>
      <c r="D8" s="8" t="str">
        <f t="shared" si="0"/>
        <v>女</v>
      </c>
      <c r="E8" s="7" t="str">
        <f>"42220219960924422X"</f>
        <v>42220219960924422X</v>
      </c>
      <c r="F8" s="7" t="str">
        <f>"国家开放大学"</f>
        <v>国家开放大学</v>
      </c>
      <c r="G8" s="7" t="str">
        <f t="shared" si="1"/>
        <v>学前教育</v>
      </c>
      <c r="H8" s="7" t="str">
        <f t="shared" si="2"/>
        <v>专科</v>
      </c>
      <c r="I8" s="7" t="str">
        <f t="shared" si="3"/>
        <v>幼儿园教师资格</v>
      </c>
    </row>
    <row r="9" customHeight="1" spans="1:9">
      <c r="A9" s="6">
        <v>7</v>
      </c>
      <c r="B9" s="7" t="s">
        <v>10</v>
      </c>
      <c r="C9" s="8" t="str">
        <f>"吴惠琴"</f>
        <v>吴惠琴</v>
      </c>
      <c r="D9" s="8" t="str">
        <f t="shared" si="0"/>
        <v>女</v>
      </c>
      <c r="E9" s="7" t="str">
        <f>"460033199510221801"</f>
        <v>460033199510221801</v>
      </c>
      <c r="F9" s="7" t="str">
        <f t="shared" si="4"/>
        <v>海南热带海洋学院</v>
      </c>
      <c r="G9" s="7" t="str">
        <f t="shared" si="1"/>
        <v>学前教育</v>
      </c>
      <c r="H9" s="7" t="str">
        <f t="shared" si="2"/>
        <v>专科</v>
      </c>
      <c r="I9" s="7" t="str">
        <f t="shared" si="3"/>
        <v>幼儿园教师资格</v>
      </c>
    </row>
    <row r="10" customHeight="1" spans="1:9">
      <c r="A10" s="6">
        <v>8</v>
      </c>
      <c r="B10" s="7" t="s">
        <v>10</v>
      </c>
      <c r="C10" s="8" t="str">
        <f>"王雪眉"</f>
        <v>王雪眉</v>
      </c>
      <c r="D10" s="8" t="str">
        <f t="shared" si="0"/>
        <v>女</v>
      </c>
      <c r="E10" s="7" t="str">
        <f>"460026199708183026"</f>
        <v>460026199708183026</v>
      </c>
      <c r="F10" s="7" t="str">
        <f t="shared" si="4"/>
        <v>海南热带海洋学院</v>
      </c>
      <c r="G10" s="7" t="str">
        <f t="shared" si="1"/>
        <v>学前教育</v>
      </c>
      <c r="H10" s="7" t="str">
        <f>"专科(高职)"</f>
        <v>专科(高职)</v>
      </c>
      <c r="I10" s="7" t="str">
        <f t="shared" si="3"/>
        <v>幼儿园教师资格</v>
      </c>
    </row>
    <row r="11" customHeight="1" spans="1:9">
      <c r="A11" s="6">
        <v>9</v>
      </c>
      <c r="B11" s="7" t="s">
        <v>11</v>
      </c>
      <c r="C11" s="8" t="str">
        <f>"董悦萍"</f>
        <v>董悦萍</v>
      </c>
      <c r="D11" s="8" t="str">
        <f t="shared" si="0"/>
        <v>女</v>
      </c>
      <c r="E11" s="7" t="str">
        <f>"460200199401294028"</f>
        <v>460200199401294028</v>
      </c>
      <c r="F11" s="7" t="str">
        <f>"荆楚理工学院"</f>
        <v>荆楚理工学院</v>
      </c>
      <c r="G11" s="7" t="str">
        <f t="shared" si="1"/>
        <v>学前教育</v>
      </c>
      <c r="H11" s="7" t="str">
        <f t="shared" ref="H11:H21" si="5">"专科"</f>
        <v>专科</v>
      </c>
      <c r="I11" s="7" t="str">
        <f t="shared" si="3"/>
        <v>幼儿园教师资格</v>
      </c>
    </row>
    <row r="12" customHeight="1" spans="1:9">
      <c r="A12" s="6">
        <v>10</v>
      </c>
      <c r="B12" s="7" t="s">
        <v>10</v>
      </c>
      <c r="C12" s="8" t="str">
        <f>"刘莲"</f>
        <v>刘莲</v>
      </c>
      <c r="D12" s="8" t="str">
        <f t="shared" si="0"/>
        <v>女</v>
      </c>
      <c r="E12" s="7" t="str">
        <f>"511025199303073944"</f>
        <v>511025199303073944</v>
      </c>
      <c r="F12" s="7" t="str">
        <f>"内江师范学院"</f>
        <v>内江师范学院</v>
      </c>
      <c r="G12" s="7" t="str">
        <f t="shared" si="1"/>
        <v>学前教育</v>
      </c>
      <c r="H12" s="7" t="str">
        <f t="shared" si="5"/>
        <v>专科</v>
      </c>
      <c r="I12" s="7" t="str">
        <f t="shared" si="3"/>
        <v>幼儿园教师资格</v>
      </c>
    </row>
    <row r="13" customHeight="1" spans="1:9">
      <c r="A13" s="6">
        <v>11</v>
      </c>
      <c r="B13" s="7" t="s">
        <v>10</v>
      </c>
      <c r="C13" s="8" t="str">
        <f>"王灵"</f>
        <v>王灵</v>
      </c>
      <c r="D13" s="8" t="str">
        <f t="shared" si="0"/>
        <v>女</v>
      </c>
      <c r="E13" s="7" t="str">
        <f>"460002199503013823"</f>
        <v>460002199503013823</v>
      </c>
      <c r="F13" s="7" t="str">
        <f t="shared" ref="F13:F16" si="6">"琼台师范学院"</f>
        <v>琼台师范学院</v>
      </c>
      <c r="G13" s="7" t="str">
        <f>"学前教育专业"</f>
        <v>学前教育专业</v>
      </c>
      <c r="H13" s="7" t="str">
        <f t="shared" si="5"/>
        <v>专科</v>
      </c>
      <c r="I13" s="7" t="str">
        <f t="shared" si="3"/>
        <v>幼儿园教师资格</v>
      </c>
    </row>
    <row r="14" customHeight="1" spans="1:9">
      <c r="A14" s="6">
        <v>12</v>
      </c>
      <c r="B14" s="7" t="s">
        <v>10</v>
      </c>
      <c r="C14" s="8" t="str">
        <f>"陈俏蕾"</f>
        <v>陈俏蕾</v>
      </c>
      <c r="D14" s="8" t="str">
        <f t="shared" si="0"/>
        <v>女</v>
      </c>
      <c r="E14" s="7" t="str">
        <f>"460033199008203261"</f>
        <v>460033199008203261</v>
      </c>
      <c r="F14" s="7" t="str">
        <f>"江西省  萍乡学院"</f>
        <v>江西省  萍乡学院</v>
      </c>
      <c r="G14" s="7" t="str">
        <f t="shared" ref="G14:G19" si="7">"学前教育"</f>
        <v>学前教育</v>
      </c>
      <c r="H14" s="7" t="str">
        <f t="shared" si="5"/>
        <v>专科</v>
      </c>
      <c r="I14" s="7" t="str">
        <f t="shared" si="3"/>
        <v>幼儿园教师资格</v>
      </c>
    </row>
    <row r="15" customHeight="1" spans="1:9">
      <c r="A15" s="6">
        <v>13</v>
      </c>
      <c r="B15" s="7" t="s">
        <v>12</v>
      </c>
      <c r="C15" s="8" t="str">
        <f>"符晖愉"</f>
        <v>符晖愉</v>
      </c>
      <c r="D15" s="8" t="str">
        <f t="shared" si="0"/>
        <v>女</v>
      </c>
      <c r="E15" s="7" t="str">
        <f>"460006199312170928"</f>
        <v>460006199312170928</v>
      </c>
      <c r="F15" s="7" t="str">
        <f t="shared" si="6"/>
        <v>琼台师范学院</v>
      </c>
      <c r="G15" s="7" t="str">
        <f t="shared" si="7"/>
        <v>学前教育</v>
      </c>
      <c r="H15" s="7" t="str">
        <f t="shared" si="5"/>
        <v>专科</v>
      </c>
      <c r="I15" s="7" t="str">
        <f t="shared" si="3"/>
        <v>幼儿园教师资格</v>
      </c>
    </row>
    <row r="16" customHeight="1" spans="1:9">
      <c r="A16" s="6">
        <v>14</v>
      </c>
      <c r="B16" s="7" t="s">
        <v>10</v>
      </c>
      <c r="C16" s="8" t="str">
        <f>"王中梅"</f>
        <v>王中梅</v>
      </c>
      <c r="D16" s="8" t="str">
        <f t="shared" si="0"/>
        <v>女</v>
      </c>
      <c r="E16" s="7" t="str">
        <f>"460007199408085361"</f>
        <v>460007199408085361</v>
      </c>
      <c r="F16" s="7" t="str">
        <f t="shared" si="6"/>
        <v>琼台师范学院</v>
      </c>
      <c r="G16" s="7" t="str">
        <f t="shared" si="7"/>
        <v>学前教育</v>
      </c>
      <c r="H16" s="7" t="str">
        <f t="shared" si="5"/>
        <v>专科</v>
      </c>
      <c r="I16" s="7" t="str">
        <f t="shared" si="3"/>
        <v>幼儿园教师资格</v>
      </c>
    </row>
    <row r="17" customHeight="1" spans="1:9">
      <c r="A17" s="6">
        <v>15</v>
      </c>
      <c r="B17" s="7" t="s">
        <v>11</v>
      </c>
      <c r="C17" s="8" t="str">
        <f>"符娟"</f>
        <v>符娟</v>
      </c>
      <c r="D17" s="8" t="str">
        <f t="shared" si="0"/>
        <v>女</v>
      </c>
      <c r="E17" s="7" t="str">
        <f>"460027199510071404"</f>
        <v>460027199510071404</v>
      </c>
      <c r="F17" s="7" t="str">
        <f>"海南师范大学"</f>
        <v>海南师范大学</v>
      </c>
      <c r="G17" s="7" t="str">
        <f t="shared" si="7"/>
        <v>学前教育</v>
      </c>
      <c r="H17" s="7" t="str">
        <f t="shared" si="5"/>
        <v>专科</v>
      </c>
      <c r="I17" s="7" t="str">
        <f t="shared" si="3"/>
        <v>幼儿园教师资格</v>
      </c>
    </row>
    <row r="18" customHeight="1" spans="1:9">
      <c r="A18" s="6">
        <v>16</v>
      </c>
      <c r="B18" s="7" t="s">
        <v>10</v>
      </c>
      <c r="C18" s="8" t="str">
        <f>"周桧君"</f>
        <v>周桧君</v>
      </c>
      <c r="D18" s="8" t="str">
        <f t="shared" si="0"/>
        <v>女</v>
      </c>
      <c r="E18" s="7" t="str">
        <f>"460033199201133226"</f>
        <v>460033199201133226</v>
      </c>
      <c r="F18" s="7" t="str">
        <f>"琼州学院"</f>
        <v>琼州学院</v>
      </c>
      <c r="G18" s="7" t="str">
        <f t="shared" si="7"/>
        <v>学前教育</v>
      </c>
      <c r="H18" s="7" t="str">
        <f t="shared" si="5"/>
        <v>专科</v>
      </c>
      <c r="I18" s="7" t="str">
        <f t="shared" si="3"/>
        <v>幼儿园教师资格</v>
      </c>
    </row>
    <row r="19" customHeight="1" spans="1:9">
      <c r="A19" s="6">
        <v>17</v>
      </c>
      <c r="B19" s="7" t="s">
        <v>10</v>
      </c>
      <c r="C19" s="8" t="str">
        <f>"于白雪"</f>
        <v>于白雪</v>
      </c>
      <c r="D19" s="8" t="str">
        <f t="shared" si="0"/>
        <v>女</v>
      </c>
      <c r="E19" s="7" t="str">
        <f>"230603199112031721"</f>
        <v>230603199112031721</v>
      </c>
      <c r="F19" s="7" t="str">
        <f>"中央广播电视大学"</f>
        <v>中央广播电视大学</v>
      </c>
      <c r="G19" s="7" t="str">
        <f t="shared" si="7"/>
        <v>学前教育</v>
      </c>
      <c r="H19" s="7" t="str">
        <f t="shared" si="5"/>
        <v>专科</v>
      </c>
      <c r="I19" s="7" t="str">
        <f t="shared" si="3"/>
        <v>幼儿园教师资格</v>
      </c>
    </row>
    <row r="20" customHeight="1" spans="1:9">
      <c r="A20" s="6">
        <v>18</v>
      </c>
      <c r="B20" s="7" t="s">
        <v>10</v>
      </c>
      <c r="C20" s="8" t="str">
        <f>"张新玲"</f>
        <v>张新玲</v>
      </c>
      <c r="D20" s="8" t="str">
        <f t="shared" si="0"/>
        <v>女</v>
      </c>
      <c r="E20" s="7" t="str">
        <f>"46000719951219498X"</f>
        <v>46000719951219498X</v>
      </c>
      <c r="F20" s="7" t="str">
        <f>"琼台师范学院"</f>
        <v>琼台师范学院</v>
      </c>
      <c r="G20" s="7" t="str">
        <f>"学前教育专业"</f>
        <v>学前教育专业</v>
      </c>
      <c r="H20" s="7" t="str">
        <f t="shared" si="5"/>
        <v>专科</v>
      </c>
      <c r="I20" s="7" t="str">
        <f t="shared" si="3"/>
        <v>幼儿园教师资格</v>
      </c>
    </row>
    <row r="21" customHeight="1" spans="1:9">
      <c r="A21" s="6">
        <v>19</v>
      </c>
      <c r="B21" s="7" t="s">
        <v>10</v>
      </c>
      <c r="C21" s="8" t="str">
        <f>"梁莲"</f>
        <v>梁莲</v>
      </c>
      <c r="D21" s="8" t="str">
        <f t="shared" si="0"/>
        <v>女</v>
      </c>
      <c r="E21" s="7" t="str">
        <f>"450923199011210803"</f>
        <v>450923199011210803</v>
      </c>
      <c r="F21" s="7" t="str">
        <f>"广西师范学院"</f>
        <v>广西师范学院</v>
      </c>
      <c r="G21" s="7" t="str">
        <f t="shared" ref="G21:G38" si="8">"学前教育"</f>
        <v>学前教育</v>
      </c>
      <c r="H21" s="7" t="str">
        <f t="shared" si="5"/>
        <v>专科</v>
      </c>
      <c r="I21" s="7" t="str">
        <f t="shared" si="3"/>
        <v>幼儿园教师资格</v>
      </c>
    </row>
    <row r="22" customHeight="1" spans="1:9">
      <c r="A22" s="6">
        <v>20</v>
      </c>
      <c r="B22" s="7" t="s">
        <v>10</v>
      </c>
      <c r="C22" s="8" t="str">
        <f>"吕亮伶"</f>
        <v>吕亮伶</v>
      </c>
      <c r="D22" s="8" t="str">
        <f t="shared" si="0"/>
        <v>女</v>
      </c>
      <c r="E22" s="7" t="str">
        <f>"460003200002012445"</f>
        <v>460003200002012445</v>
      </c>
      <c r="F22" s="7" t="str">
        <f>"琼台师范学校"</f>
        <v>琼台师范学校</v>
      </c>
      <c r="G22" s="7" t="str">
        <f t="shared" si="8"/>
        <v>学前教育</v>
      </c>
      <c r="H22" s="7" t="str">
        <f>"专科(高职)"</f>
        <v>专科(高职)</v>
      </c>
      <c r="I22" s="7" t="str">
        <f t="shared" si="3"/>
        <v>幼儿园教师资格</v>
      </c>
    </row>
    <row r="23" customHeight="1" spans="1:9">
      <c r="A23" s="6">
        <v>21</v>
      </c>
      <c r="B23" s="7" t="s">
        <v>11</v>
      </c>
      <c r="C23" s="8" t="str">
        <f>"陈小丽"</f>
        <v>陈小丽</v>
      </c>
      <c r="D23" s="8" t="str">
        <f t="shared" si="0"/>
        <v>女</v>
      </c>
      <c r="E23" s="7" t="str">
        <f>"460003199112037226"</f>
        <v>460003199112037226</v>
      </c>
      <c r="F23" s="7" t="str">
        <f>"琼台师范高等专科学校"</f>
        <v>琼台师范高等专科学校</v>
      </c>
      <c r="G23" s="7" t="str">
        <f t="shared" si="8"/>
        <v>学前教育</v>
      </c>
      <c r="H23" s="7" t="str">
        <f t="shared" ref="H23:H26" si="9">"专科"</f>
        <v>专科</v>
      </c>
      <c r="I23" s="7" t="str">
        <f t="shared" si="3"/>
        <v>幼儿园教师资格</v>
      </c>
    </row>
    <row r="24" customHeight="1" spans="1:9">
      <c r="A24" s="6">
        <v>22</v>
      </c>
      <c r="B24" s="7" t="s">
        <v>12</v>
      </c>
      <c r="C24" s="8" t="str">
        <f>"吴俊秀"</f>
        <v>吴俊秀</v>
      </c>
      <c r="D24" s="8" t="str">
        <f t="shared" si="0"/>
        <v>女</v>
      </c>
      <c r="E24" s="7" t="str">
        <f>"460028199702170024"</f>
        <v>460028199702170024</v>
      </c>
      <c r="F24" s="7" t="str">
        <f>"海南热带海洋学院"</f>
        <v>海南热带海洋学院</v>
      </c>
      <c r="G24" s="7" t="str">
        <f t="shared" si="8"/>
        <v>学前教育</v>
      </c>
      <c r="H24" s="7" t="str">
        <f t="shared" si="9"/>
        <v>专科</v>
      </c>
      <c r="I24" s="7" t="str">
        <f t="shared" si="3"/>
        <v>幼儿园教师资格</v>
      </c>
    </row>
    <row r="25" customHeight="1" spans="1:9">
      <c r="A25" s="6">
        <v>23</v>
      </c>
      <c r="B25" s="7" t="s">
        <v>11</v>
      </c>
      <c r="C25" s="8" t="str">
        <f>"李蒙爱"</f>
        <v>李蒙爱</v>
      </c>
      <c r="D25" s="8" t="str">
        <f t="shared" si="0"/>
        <v>女</v>
      </c>
      <c r="E25" s="7" t="str">
        <f>"460036199503011522"</f>
        <v>460036199503011522</v>
      </c>
      <c r="F25" s="7" t="str">
        <f>"琼台师范学院"</f>
        <v>琼台师范学院</v>
      </c>
      <c r="G25" s="7" t="str">
        <f t="shared" si="8"/>
        <v>学前教育</v>
      </c>
      <c r="H25" s="7" t="str">
        <f t="shared" si="9"/>
        <v>专科</v>
      </c>
      <c r="I25" s="7" t="str">
        <f t="shared" si="3"/>
        <v>幼儿园教师资格</v>
      </c>
    </row>
    <row r="26" customHeight="1" spans="1:9">
      <c r="A26" s="6">
        <v>24</v>
      </c>
      <c r="B26" s="7" t="s">
        <v>11</v>
      </c>
      <c r="C26" s="8" t="str">
        <f>"王燕媛"</f>
        <v>王燕媛</v>
      </c>
      <c r="D26" s="8" t="str">
        <f t="shared" si="0"/>
        <v>女</v>
      </c>
      <c r="E26" s="7" t="str">
        <f>"46002819931215562X"</f>
        <v>46002819931215562X</v>
      </c>
      <c r="F26" s="7" t="str">
        <f>"汉江师范学院"</f>
        <v>汉江师范学院</v>
      </c>
      <c r="G26" s="7" t="str">
        <f t="shared" si="8"/>
        <v>学前教育</v>
      </c>
      <c r="H26" s="7" t="str">
        <f t="shared" si="9"/>
        <v>专科</v>
      </c>
      <c r="I26" s="7" t="str">
        <f t="shared" si="3"/>
        <v>幼儿园教师资格</v>
      </c>
    </row>
    <row r="27" customHeight="1" spans="1:9">
      <c r="A27" s="6">
        <v>25</v>
      </c>
      <c r="B27" s="7" t="s">
        <v>11</v>
      </c>
      <c r="C27" s="8" t="str">
        <f>"王琬"</f>
        <v>王琬</v>
      </c>
      <c r="D27" s="8" t="str">
        <f t="shared" si="0"/>
        <v>女</v>
      </c>
      <c r="E27" s="7" t="str">
        <f>"460025199708152725"</f>
        <v>460025199708152725</v>
      </c>
      <c r="F27" s="7" t="str">
        <f>"四川省内江师范学院"</f>
        <v>四川省内江师范学院</v>
      </c>
      <c r="G27" s="7" t="str">
        <f t="shared" si="8"/>
        <v>学前教育</v>
      </c>
      <c r="H27" s="7" t="str">
        <f>"本科"</f>
        <v>本科</v>
      </c>
      <c r="I27" s="7" t="str">
        <f t="shared" si="3"/>
        <v>幼儿园教师资格</v>
      </c>
    </row>
    <row r="28" customHeight="1" spans="1:9">
      <c r="A28" s="6">
        <v>26</v>
      </c>
      <c r="B28" s="7" t="s">
        <v>12</v>
      </c>
      <c r="C28" s="8" t="str">
        <f>"文艳"</f>
        <v>文艳</v>
      </c>
      <c r="D28" s="8" t="str">
        <f t="shared" si="0"/>
        <v>女</v>
      </c>
      <c r="E28" s="7" t="str">
        <f>"460034199104160448"</f>
        <v>460034199104160448</v>
      </c>
      <c r="F28" s="7" t="str">
        <f>"海南师范大学"</f>
        <v>海南师范大学</v>
      </c>
      <c r="G28" s="7" t="str">
        <f t="shared" si="8"/>
        <v>学前教育</v>
      </c>
      <c r="H28" s="7" t="str">
        <f t="shared" ref="H28:H33" si="10">"专科"</f>
        <v>专科</v>
      </c>
      <c r="I28" s="7" t="str">
        <f t="shared" si="3"/>
        <v>幼儿园教师资格</v>
      </c>
    </row>
    <row r="29" customHeight="1" spans="1:9">
      <c r="A29" s="6">
        <v>27</v>
      </c>
      <c r="B29" s="7" t="s">
        <v>11</v>
      </c>
      <c r="C29" s="8" t="str">
        <f>"卓书娜"</f>
        <v>卓书娜</v>
      </c>
      <c r="D29" s="8" t="str">
        <f t="shared" si="0"/>
        <v>女</v>
      </c>
      <c r="E29" s="7" t="str">
        <f>"460006199512290027"</f>
        <v>460006199512290027</v>
      </c>
      <c r="F29" s="7" t="str">
        <f>"琼台师范学院"</f>
        <v>琼台师范学院</v>
      </c>
      <c r="G29" s="7" t="str">
        <f t="shared" si="8"/>
        <v>学前教育</v>
      </c>
      <c r="H29" s="7" t="str">
        <f>"专科(高职)"</f>
        <v>专科(高职)</v>
      </c>
      <c r="I29" s="7" t="str">
        <f t="shared" si="3"/>
        <v>幼儿园教师资格</v>
      </c>
    </row>
    <row r="30" customHeight="1" spans="1:9">
      <c r="A30" s="6">
        <v>28</v>
      </c>
      <c r="B30" s="7" t="s">
        <v>11</v>
      </c>
      <c r="C30" s="8" t="str">
        <f>"林玉银"</f>
        <v>林玉银</v>
      </c>
      <c r="D30" s="8" t="str">
        <f t="shared" si="0"/>
        <v>女</v>
      </c>
      <c r="E30" s="7" t="str">
        <f>"460004199104174040"</f>
        <v>460004199104174040</v>
      </c>
      <c r="F30" s="7" t="str">
        <f>"琼州学院"</f>
        <v>琼州学院</v>
      </c>
      <c r="G30" s="7" t="str">
        <f t="shared" si="8"/>
        <v>学前教育</v>
      </c>
      <c r="H30" s="7" t="str">
        <f t="shared" si="10"/>
        <v>专科</v>
      </c>
      <c r="I30" s="7" t="str">
        <f t="shared" si="3"/>
        <v>幼儿园教师资格</v>
      </c>
    </row>
    <row r="31" customHeight="1" spans="1:9">
      <c r="A31" s="6">
        <v>29</v>
      </c>
      <c r="B31" s="7" t="s">
        <v>10</v>
      </c>
      <c r="C31" s="8" t="str">
        <f>"黄惠娴"</f>
        <v>黄惠娴</v>
      </c>
      <c r="D31" s="8" t="str">
        <f t="shared" si="0"/>
        <v>女</v>
      </c>
      <c r="E31" s="7" t="str">
        <f>"460102199310260321"</f>
        <v>460102199310260321</v>
      </c>
      <c r="F31" s="7" t="str">
        <f>"海南师范大学"</f>
        <v>海南师范大学</v>
      </c>
      <c r="G31" s="7" t="str">
        <f t="shared" si="8"/>
        <v>学前教育</v>
      </c>
      <c r="H31" s="7" t="str">
        <f>"本科"</f>
        <v>本科</v>
      </c>
      <c r="I31" s="7" t="str">
        <f t="shared" si="3"/>
        <v>幼儿园教师资格</v>
      </c>
    </row>
    <row r="32" customHeight="1" spans="1:9">
      <c r="A32" s="6">
        <v>30</v>
      </c>
      <c r="B32" s="7" t="s">
        <v>12</v>
      </c>
      <c r="C32" s="8" t="str">
        <f>"麦贤雯"</f>
        <v>麦贤雯</v>
      </c>
      <c r="D32" s="8" t="str">
        <f t="shared" si="0"/>
        <v>女</v>
      </c>
      <c r="E32" s="7" t="str">
        <f>"460033199307020027"</f>
        <v>460033199307020027</v>
      </c>
      <c r="F32" s="7" t="str">
        <f>"海南热带海洋学院"</f>
        <v>海南热带海洋学院</v>
      </c>
      <c r="G32" s="7" t="str">
        <f t="shared" si="8"/>
        <v>学前教育</v>
      </c>
      <c r="H32" s="7" t="str">
        <f t="shared" si="10"/>
        <v>专科</v>
      </c>
      <c r="I32" s="7" t="str">
        <f t="shared" si="3"/>
        <v>幼儿园教师资格</v>
      </c>
    </row>
    <row r="33" customHeight="1" spans="1:9">
      <c r="A33" s="6">
        <v>31</v>
      </c>
      <c r="B33" s="7" t="s">
        <v>10</v>
      </c>
      <c r="C33" s="8" t="str">
        <f>"刘琪"</f>
        <v>刘琪</v>
      </c>
      <c r="D33" s="8" t="str">
        <f t="shared" si="0"/>
        <v>女</v>
      </c>
      <c r="E33" s="7" t="str">
        <f>"460033199505117161"</f>
        <v>460033199505117161</v>
      </c>
      <c r="F33" s="7" t="str">
        <f t="shared" ref="F33:F39" si="11">"琼台师范学院"</f>
        <v>琼台师范学院</v>
      </c>
      <c r="G33" s="7" t="str">
        <f t="shared" si="8"/>
        <v>学前教育</v>
      </c>
      <c r="H33" s="7" t="str">
        <f t="shared" si="10"/>
        <v>专科</v>
      </c>
      <c r="I33" s="7" t="str">
        <f t="shared" si="3"/>
        <v>幼儿园教师资格</v>
      </c>
    </row>
    <row r="34" customHeight="1" spans="1:9">
      <c r="A34" s="6">
        <v>32</v>
      </c>
      <c r="B34" s="7" t="s">
        <v>11</v>
      </c>
      <c r="C34" s="8" t="str">
        <f>"钟壮川"</f>
        <v>钟壮川</v>
      </c>
      <c r="D34" s="8" t="str">
        <f t="shared" si="0"/>
        <v>女</v>
      </c>
      <c r="E34" s="7" t="str">
        <f>"460003199409085624"</f>
        <v>460003199409085624</v>
      </c>
      <c r="F34" s="7" t="str">
        <f>"海南师范大学"</f>
        <v>海南师范大学</v>
      </c>
      <c r="G34" s="7" t="str">
        <f t="shared" si="8"/>
        <v>学前教育</v>
      </c>
      <c r="H34" s="7" t="str">
        <f>"本科"</f>
        <v>本科</v>
      </c>
      <c r="I34" s="7" t="str">
        <f t="shared" si="3"/>
        <v>幼儿园教师资格</v>
      </c>
    </row>
    <row r="35" customHeight="1" spans="1:9">
      <c r="A35" s="6">
        <v>33</v>
      </c>
      <c r="B35" s="7" t="s">
        <v>11</v>
      </c>
      <c r="C35" s="8" t="str">
        <f>"王燕妮"</f>
        <v>王燕妮</v>
      </c>
      <c r="D35" s="8" t="str">
        <f t="shared" si="0"/>
        <v>女</v>
      </c>
      <c r="E35" s="7" t="str">
        <f>"460006199602075224"</f>
        <v>460006199602075224</v>
      </c>
      <c r="F35" s="7" t="str">
        <f t="shared" si="11"/>
        <v>琼台师范学院</v>
      </c>
      <c r="G35" s="7" t="str">
        <f t="shared" si="8"/>
        <v>学前教育</v>
      </c>
      <c r="H35" s="7" t="str">
        <f t="shared" ref="H35:H64" si="12">"专科"</f>
        <v>专科</v>
      </c>
      <c r="I35" s="7" t="str">
        <f t="shared" si="3"/>
        <v>幼儿园教师资格</v>
      </c>
    </row>
    <row r="36" customHeight="1" spans="1:9">
      <c r="A36" s="6">
        <v>34</v>
      </c>
      <c r="B36" s="7" t="s">
        <v>10</v>
      </c>
      <c r="C36" s="8" t="str">
        <f>"邓丽娇"</f>
        <v>邓丽娇</v>
      </c>
      <c r="D36" s="8" t="str">
        <f t="shared" si="0"/>
        <v>女</v>
      </c>
      <c r="E36" s="7" t="str">
        <f>"460005199810062325"</f>
        <v>460005199810062325</v>
      </c>
      <c r="F36" s="7" t="str">
        <f t="shared" si="11"/>
        <v>琼台师范学院</v>
      </c>
      <c r="G36" s="7" t="str">
        <f t="shared" si="8"/>
        <v>学前教育</v>
      </c>
      <c r="H36" s="7" t="str">
        <f t="shared" si="12"/>
        <v>专科</v>
      </c>
      <c r="I36" s="7" t="str">
        <f t="shared" si="3"/>
        <v>幼儿园教师资格</v>
      </c>
    </row>
    <row r="37" customHeight="1" spans="1:9">
      <c r="A37" s="6">
        <v>35</v>
      </c>
      <c r="B37" s="7" t="s">
        <v>12</v>
      </c>
      <c r="C37" s="8" t="str">
        <f>"王丽盈"</f>
        <v>王丽盈</v>
      </c>
      <c r="D37" s="8" t="str">
        <f t="shared" si="0"/>
        <v>女</v>
      </c>
      <c r="E37" s="7" t="str">
        <f>"460028199603103643"</f>
        <v>460028199603103643</v>
      </c>
      <c r="F37" s="7" t="str">
        <f t="shared" si="11"/>
        <v>琼台师范学院</v>
      </c>
      <c r="G37" s="7" t="str">
        <f t="shared" si="8"/>
        <v>学前教育</v>
      </c>
      <c r="H37" s="7" t="str">
        <f t="shared" si="12"/>
        <v>专科</v>
      </c>
      <c r="I37" s="7" t="str">
        <f t="shared" si="3"/>
        <v>幼儿园教师资格</v>
      </c>
    </row>
    <row r="38" customHeight="1" spans="1:9">
      <c r="A38" s="6">
        <v>36</v>
      </c>
      <c r="B38" s="7" t="s">
        <v>10</v>
      </c>
      <c r="C38" s="8" t="str">
        <f>"姜婉萍"</f>
        <v>姜婉萍</v>
      </c>
      <c r="D38" s="8" t="str">
        <f t="shared" si="0"/>
        <v>女</v>
      </c>
      <c r="E38" s="7" t="str">
        <f>"469023199701250408"</f>
        <v>469023199701250408</v>
      </c>
      <c r="F38" s="7" t="str">
        <f t="shared" si="11"/>
        <v>琼台师范学院</v>
      </c>
      <c r="G38" s="7" t="str">
        <f t="shared" si="8"/>
        <v>学前教育</v>
      </c>
      <c r="H38" s="7" t="str">
        <f t="shared" si="12"/>
        <v>专科</v>
      </c>
      <c r="I38" s="7" t="str">
        <f t="shared" si="3"/>
        <v>幼儿园教师资格</v>
      </c>
    </row>
    <row r="39" customHeight="1" spans="1:9">
      <c r="A39" s="6">
        <v>37</v>
      </c>
      <c r="B39" s="7" t="s">
        <v>10</v>
      </c>
      <c r="C39" s="8" t="str">
        <f>"李妃"</f>
        <v>李妃</v>
      </c>
      <c r="D39" s="8" t="str">
        <f t="shared" si="0"/>
        <v>女</v>
      </c>
      <c r="E39" s="7" t="str">
        <f>"460002199512270047"</f>
        <v>460002199512270047</v>
      </c>
      <c r="F39" s="7" t="str">
        <f t="shared" si="11"/>
        <v>琼台师范学院</v>
      </c>
      <c r="G39" s="7" t="str">
        <f>"学前教育（英语教育方向）"</f>
        <v>学前教育（英语教育方向）</v>
      </c>
      <c r="H39" s="7" t="str">
        <f t="shared" si="12"/>
        <v>专科</v>
      </c>
      <c r="I39" s="7" t="str">
        <f t="shared" si="3"/>
        <v>幼儿园教师资格</v>
      </c>
    </row>
    <row r="40" customHeight="1" spans="1:9">
      <c r="A40" s="6">
        <v>38</v>
      </c>
      <c r="B40" s="7" t="s">
        <v>11</v>
      </c>
      <c r="C40" s="8" t="str">
        <f>"范霓颖"</f>
        <v>范霓颖</v>
      </c>
      <c r="D40" s="8" t="str">
        <f t="shared" si="0"/>
        <v>女</v>
      </c>
      <c r="E40" s="7" t="str">
        <f>"513401199303090229"</f>
        <v>513401199303090229</v>
      </c>
      <c r="F40" s="7" t="str">
        <f>"四川幼儿师范高等专科学校"</f>
        <v>四川幼儿师范高等专科学校</v>
      </c>
      <c r="G40" s="7" t="str">
        <f t="shared" ref="G40:G45" si="13">"学前教育"</f>
        <v>学前教育</v>
      </c>
      <c r="H40" s="7" t="str">
        <f t="shared" si="12"/>
        <v>专科</v>
      </c>
      <c r="I40" s="7" t="str">
        <f t="shared" si="3"/>
        <v>幼儿园教师资格</v>
      </c>
    </row>
    <row r="41" customHeight="1" spans="1:9">
      <c r="A41" s="6">
        <v>39</v>
      </c>
      <c r="B41" s="7" t="s">
        <v>12</v>
      </c>
      <c r="C41" s="8" t="str">
        <f>"吴家丽"</f>
        <v>吴家丽</v>
      </c>
      <c r="D41" s="8" t="str">
        <f t="shared" si="0"/>
        <v>女</v>
      </c>
      <c r="E41" s="7" t="str">
        <f>"460003199109204708"</f>
        <v>460003199109204708</v>
      </c>
      <c r="F41" s="7" t="str">
        <f>"丽江师范高等专科学校"</f>
        <v>丽江师范高等专科学校</v>
      </c>
      <c r="G41" s="7" t="str">
        <f t="shared" si="13"/>
        <v>学前教育</v>
      </c>
      <c r="H41" s="7" t="str">
        <f t="shared" si="12"/>
        <v>专科</v>
      </c>
      <c r="I41" s="7" t="str">
        <f t="shared" si="3"/>
        <v>幼儿园教师资格</v>
      </c>
    </row>
    <row r="42" customHeight="1" spans="1:9">
      <c r="A42" s="6">
        <v>40</v>
      </c>
      <c r="B42" s="7" t="s">
        <v>11</v>
      </c>
      <c r="C42" s="8" t="str">
        <f>"朱秀风"</f>
        <v>朱秀风</v>
      </c>
      <c r="D42" s="8" t="str">
        <f t="shared" si="0"/>
        <v>女</v>
      </c>
      <c r="E42" s="7" t="str">
        <f>"469003199512156425"</f>
        <v>469003199512156425</v>
      </c>
      <c r="F42" s="7" t="str">
        <f>"闽北职业技术学院"</f>
        <v>闽北职业技术学院</v>
      </c>
      <c r="G42" s="7" t="str">
        <f t="shared" si="13"/>
        <v>学前教育</v>
      </c>
      <c r="H42" s="7" t="str">
        <f t="shared" si="12"/>
        <v>专科</v>
      </c>
      <c r="I42" s="7" t="str">
        <f t="shared" si="3"/>
        <v>幼儿园教师资格</v>
      </c>
    </row>
    <row r="43" customHeight="1" spans="1:9">
      <c r="A43" s="6">
        <v>41</v>
      </c>
      <c r="B43" s="7" t="s">
        <v>10</v>
      </c>
      <c r="C43" s="8" t="str">
        <f>"陈矛"</f>
        <v>陈矛</v>
      </c>
      <c r="D43" s="8" t="str">
        <f t="shared" si="0"/>
        <v>女</v>
      </c>
      <c r="E43" s="7" t="str">
        <f>"460033199607057788"</f>
        <v>460033199607057788</v>
      </c>
      <c r="F43" s="7" t="str">
        <f>"琼台师范学院"</f>
        <v>琼台师范学院</v>
      </c>
      <c r="G43" s="7" t="str">
        <f t="shared" si="13"/>
        <v>学前教育</v>
      </c>
      <c r="H43" s="7" t="str">
        <f t="shared" si="12"/>
        <v>专科</v>
      </c>
      <c r="I43" s="7" t="str">
        <f t="shared" si="3"/>
        <v>幼儿园教师资格</v>
      </c>
    </row>
    <row r="44" customHeight="1" spans="1:9">
      <c r="A44" s="6">
        <v>42</v>
      </c>
      <c r="B44" s="7" t="s">
        <v>10</v>
      </c>
      <c r="C44" s="8" t="str">
        <f>"陈水親"</f>
        <v>陈水親</v>
      </c>
      <c r="D44" s="8" t="str">
        <f t="shared" si="0"/>
        <v>女</v>
      </c>
      <c r="E44" s="7" t="str">
        <f>"460033199208184480"</f>
        <v>460033199208184480</v>
      </c>
      <c r="F44" s="7" t="str">
        <f>"衡水学院"</f>
        <v>衡水学院</v>
      </c>
      <c r="G44" s="7" t="str">
        <f t="shared" si="13"/>
        <v>学前教育</v>
      </c>
      <c r="H44" s="7" t="str">
        <f t="shared" si="12"/>
        <v>专科</v>
      </c>
      <c r="I44" s="7" t="str">
        <f t="shared" si="3"/>
        <v>幼儿园教师资格</v>
      </c>
    </row>
    <row r="45" customHeight="1" spans="1:9">
      <c r="A45" s="6">
        <v>43</v>
      </c>
      <c r="B45" s="7" t="s">
        <v>10</v>
      </c>
      <c r="C45" s="8" t="str">
        <f>"周海琴"</f>
        <v>周海琴</v>
      </c>
      <c r="D45" s="8" t="str">
        <f t="shared" si="0"/>
        <v>女</v>
      </c>
      <c r="E45" s="7" t="str">
        <f>"460027199901065925"</f>
        <v>460027199901065925</v>
      </c>
      <c r="F45" s="7" t="str">
        <f>"琼台师范学院"</f>
        <v>琼台师范学院</v>
      </c>
      <c r="G45" s="7" t="str">
        <f t="shared" si="13"/>
        <v>学前教育</v>
      </c>
      <c r="H45" s="7" t="str">
        <f t="shared" si="12"/>
        <v>专科</v>
      </c>
      <c r="I45" s="7" t="str">
        <f t="shared" si="3"/>
        <v>幼儿园教师资格</v>
      </c>
    </row>
    <row r="46" customHeight="1" spans="1:9">
      <c r="A46" s="6">
        <v>44</v>
      </c>
      <c r="B46" s="7" t="s">
        <v>10</v>
      </c>
      <c r="C46" s="8" t="str">
        <f>"黄少丹"</f>
        <v>黄少丹</v>
      </c>
      <c r="D46" s="8" t="str">
        <f t="shared" si="0"/>
        <v>女</v>
      </c>
      <c r="E46" s="7" t="str">
        <f>"460028199606270420"</f>
        <v>460028199606270420</v>
      </c>
      <c r="F46" s="7" t="str">
        <f>"海南热带海洋学院民族学院"</f>
        <v>海南热带海洋学院民族学院</v>
      </c>
      <c r="G46" s="7" t="str">
        <f>"学前教育(师范)"</f>
        <v>学前教育(师范)</v>
      </c>
      <c r="H46" s="7" t="str">
        <f t="shared" si="12"/>
        <v>专科</v>
      </c>
      <c r="I46" s="7" t="str">
        <f t="shared" si="3"/>
        <v>幼儿园教师资格</v>
      </c>
    </row>
    <row r="47" customHeight="1" spans="1:9">
      <c r="A47" s="6">
        <v>45</v>
      </c>
      <c r="B47" s="7" t="s">
        <v>12</v>
      </c>
      <c r="C47" s="8" t="str">
        <f>"林小芳"</f>
        <v>林小芳</v>
      </c>
      <c r="D47" s="8" t="str">
        <f t="shared" si="0"/>
        <v>女</v>
      </c>
      <c r="E47" s="7" t="str">
        <f>"460028199507081229"</f>
        <v>460028199507081229</v>
      </c>
      <c r="F47" s="7" t="str">
        <f>"海南热带海洋学院"</f>
        <v>海南热带海洋学院</v>
      </c>
      <c r="G47" s="7" t="str">
        <f t="shared" ref="G47:G54" si="14">"学前教育"</f>
        <v>学前教育</v>
      </c>
      <c r="H47" s="7" t="str">
        <f t="shared" si="12"/>
        <v>专科</v>
      </c>
      <c r="I47" s="7" t="str">
        <f t="shared" si="3"/>
        <v>幼儿园教师资格</v>
      </c>
    </row>
    <row r="48" customHeight="1" spans="1:9">
      <c r="A48" s="6">
        <v>46</v>
      </c>
      <c r="B48" s="7" t="s">
        <v>12</v>
      </c>
      <c r="C48" s="8" t="str">
        <f>"莫莉娟"</f>
        <v>莫莉娟</v>
      </c>
      <c r="D48" s="8" t="str">
        <f t="shared" si="0"/>
        <v>女</v>
      </c>
      <c r="E48" s="7" t="str">
        <f>"460026199702081520"</f>
        <v>460026199702081520</v>
      </c>
      <c r="F48" s="7" t="str">
        <f>"江西科技学院"</f>
        <v>江西科技学院</v>
      </c>
      <c r="G48" s="7" t="str">
        <f t="shared" si="14"/>
        <v>学前教育</v>
      </c>
      <c r="H48" s="7" t="str">
        <f t="shared" si="12"/>
        <v>专科</v>
      </c>
      <c r="I48" s="7" t="str">
        <f t="shared" si="3"/>
        <v>幼儿园教师资格</v>
      </c>
    </row>
    <row r="49" customHeight="1" spans="1:9">
      <c r="A49" s="6">
        <v>47</v>
      </c>
      <c r="B49" s="7" t="s">
        <v>12</v>
      </c>
      <c r="C49" s="8" t="str">
        <f>"蔡清妮"</f>
        <v>蔡清妮</v>
      </c>
      <c r="D49" s="8" t="str">
        <f t="shared" si="0"/>
        <v>女</v>
      </c>
      <c r="E49" s="7" t="str">
        <f>"460006199602198742"</f>
        <v>460006199602198742</v>
      </c>
      <c r="F49" s="7" t="str">
        <f t="shared" ref="F49:F54" si="15">"琼台师范学院"</f>
        <v>琼台师范学院</v>
      </c>
      <c r="G49" s="7" t="str">
        <f t="shared" si="14"/>
        <v>学前教育</v>
      </c>
      <c r="H49" s="7" t="str">
        <f t="shared" si="12"/>
        <v>专科</v>
      </c>
      <c r="I49" s="7" t="str">
        <f t="shared" si="3"/>
        <v>幼儿园教师资格</v>
      </c>
    </row>
    <row r="50" customHeight="1" spans="1:9">
      <c r="A50" s="6">
        <v>48</v>
      </c>
      <c r="B50" s="7" t="s">
        <v>11</v>
      </c>
      <c r="C50" s="8" t="str">
        <f>"罗瑶"</f>
        <v>罗瑶</v>
      </c>
      <c r="D50" s="8" t="str">
        <f t="shared" si="0"/>
        <v>女</v>
      </c>
      <c r="E50" s="7" t="str">
        <f>"460033199305074806"</f>
        <v>460033199305074806</v>
      </c>
      <c r="F50" s="7" t="str">
        <f>"湖南师范大学"</f>
        <v>湖南师范大学</v>
      </c>
      <c r="G50" s="7" t="str">
        <f t="shared" si="14"/>
        <v>学前教育</v>
      </c>
      <c r="H50" s="7" t="str">
        <f t="shared" si="12"/>
        <v>专科</v>
      </c>
      <c r="I50" s="7" t="str">
        <f t="shared" si="3"/>
        <v>幼儿园教师资格</v>
      </c>
    </row>
    <row r="51" customHeight="1" spans="1:9">
      <c r="A51" s="6">
        <v>49</v>
      </c>
      <c r="B51" s="7" t="s">
        <v>10</v>
      </c>
      <c r="C51" s="8" t="str">
        <f>"林小曼"</f>
        <v>林小曼</v>
      </c>
      <c r="D51" s="8" t="str">
        <f t="shared" si="0"/>
        <v>女</v>
      </c>
      <c r="E51" s="7" t="str">
        <f>"469024199701220424"</f>
        <v>469024199701220424</v>
      </c>
      <c r="F51" s="7" t="str">
        <f t="shared" si="15"/>
        <v>琼台师范学院</v>
      </c>
      <c r="G51" s="7" t="str">
        <f t="shared" si="14"/>
        <v>学前教育</v>
      </c>
      <c r="H51" s="7" t="str">
        <f t="shared" si="12"/>
        <v>专科</v>
      </c>
      <c r="I51" s="7" t="str">
        <f t="shared" si="3"/>
        <v>幼儿园教师资格</v>
      </c>
    </row>
    <row r="52" customHeight="1" spans="1:9">
      <c r="A52" s="6">
        <v>50</v>
      </c>
      <c r="B52" s="7" t="s">
        <v>10</v>
      </c>
      <c r="C52" s="8" t="str">
        <f>"刘信蓉"</f>
        <v>刘信蓉</v>
      </c>
      <c r="D52" s="8" t="str">
        <f t="shared" si="0"/>
        <v>女</v>
      </c>
      <c r="E52" s="7" t="str">
        <f>"460003199606252620"</f>
        <v>460003199606252620</v>
      </c>
      <c r="F52" s="7" t="str">
        <f t="shared" si="15"/>
        <v>琼台师范学院</v>
      </c>
      <c r="G52" s="7" t="str">
        <f t="shared" si="14"/>
        <v>学前教育</v>
      </c>
      <c r="H52" s="7" t="str">
        <f t="shared" si="12"/>
        <v>专科</v>
      </c>
      <c r="I52" s="7" t="str">
        <f t="shared" si="3"/>
        <v>幼儿园教师资格</v>
      </c>
    </row>
    <row r="53" customHeight="1" spans="1:9">
      <c r="A53" s="6">
        <v>51</v>
      </c>
      <c r="B53" s="7" t="s">
        <v>11</v>
      </c>
      <c r="C53" s="8" t="str">
        <f>"薛秀了"</f>
        <v>薛秀了</v>
      </c>
      <c r="D53" s="8" t="str">
        <f t="shared" si="0"/>
        <v>女</v>
      </c>
      <c r="E53" s="7" t="str">
        <f>"460003199005073221"</f>
        <v>460003199005073221</v>
      </c>
      <c r="F53" s="7" t="str">
        <f t="shared" si="15"/>
        <v>琼台师范学院</v>
      </c>
      <c r="G53" s="7" t="str">
        <f t="shared" si="14"/>
        <v>学前教育</v>
      </c>
      <c r="H53" s="7" t="str">
        <f t="shared" si="12"/>
        <v>专科</v>
      </c>
      <c r="I53" s="7" t="str">
        <f t="shared" si="3"/>
        <v>幼儿园教师资格</v>
      </c>
    </row>
    <row r="54" customHeight="1" spans="1:9">
      <c r="A54" s="6">
        <v>52</v>
      </c>
      <c r="B54" s="7" t="s">
        <v>10</v>
      </c>
      <c r="C54" s="8" t="str">
        <f>"程盈盈"</f>
        <v>程盈盈</v>
      </c>
      <c r="D54" s="8" t="str">
        <f t="shared" si="0"/>
        <v>女</v>
      </c>
      <c r="E54" s="7" t="str">
        <f>"460033199811162681"</f>
        <v>460033199811162681</v>
      </c>
      <c r="F54" s="7" t="str">
        <f t="shared" si="15"/>
        <v>琼台师范学院</v>
      </c>
      <c r="G54" s="7" t="str">
        <f t="shared" si="14"/>
        <v>学前教育</v>
      </c>
      <c r="H54" s="7" t="str">
        <f t="shared" si="12"/>
        <v>专科</v>
      </c>
      <c r="I54" s="7" t="str">
        <f t="shared" si="3"/>
        <v>幼儿园教师资格</v>
      </c>
    </row>
    <row r="55" customHeight="1" spans="1:9">
      <c r="A55" s="6">
        <v>53</v>
      </c>
      <c r="B55" s="7" t="s">
        <v>10</v>
      </c>
      <c r="C55" s="8" t="str">
        <f>"王燕归"</f>
        <v>王燕归</v>
      </c>
      <c r="D55" s="8" t="str">
        <f t="shared" si="0"/>
        <v>女</v>
      </c>
      <c r="E55" s="7" t="str">
        <f>"460034199310033941"</f>
        <v>460034199310033941</v>
      </c>
      <c r="F55" s="7" t="str">
        <f>"琼州学院"</f>
        <v>琼州学院</v>
      </c>
      <c r="G55" s="7" t="str">
        <f>"学前教育专业"</f>
        <v>学前教育专业</v>
      </c>
      <c r="H55" s="7" t="str">
        <f t="shared" si="12"/>
        <v>专科</v>
      </c>
      <c r="I55" s="7" t="str">
        <f t="shared" si="3"/>
        <v>幼儿园教师资格</v>
      </c>
    </row>
    <row r="56" customHeight="1" spans="1:9">
      <c r="A56" s="6">
        <v>54</v>
      </c>
      <c r="B56" s="7" t="s">
        <v>10</v>
      </c>
      <c r="C56" s="8" t="str">
        <f>"符逢梅"</f>
        <v>符逢梅</v>
      </c>
      <c r="D56" s="8" t="str">
        <f t="shared" si="0"/>
        <v>女</v>
      </c>
      <c r="E56" s="7" t="str">
        <f>"46000319970202664X"</f>
        <v>46000319970202664X</v>
      </c>
      <c r="F56" s="7" t="str">
        <f>"海南热带海洋学院"</f>
        <v>海南热带海洋学院</v>
      </c>
      <c r="G56" s="7" t="str">
        <f t="shared" ref="G56:G58" si="16">"学前教育"</f>
        <v>学前教育</v>
      </c>
      <c r="H56" s="7" t="str">
        <f t="shared" si="12"/>
        <v>专科</v>
      </c>
      <c r="I56" s="7" t="str">
        <f t="shared" si="3"/>
        <v>幼儿园教师资格</v>
      </c>
    </row>
    <row r="57" customHeight="1" spans="1:9">
      <c r="A57" s="6">
        <v>55</v>
      </c>
      <c r="B57" s="7" t="s">
        <v>11</v>
      </c>
      <c r="C57" s="8" t="str">
        <f>"符冠亮"</f>
        <v>符冠亮</v>
      </c>
      <c r="D57" s="8" t="str">
        <f t="shared" si="0"/>
        <v>女</v>
      </c>
      <c r="E57" s="7" t="str">
        <f>"460003199706106022"</f>
        <v>460003199706106022</v>
      </c>
      <c r="F57" s="7" t="str">
        <f>"琼台师范学院"</f>
        <v>琼台师范学院</v>
      </c>
      <c r="G57" s="7" t="str">
        <f t="shared" si="16"/>
        <v>学前教育</v>
      </c>
      <c r="H57" s="7" t="str">
        <f t="shared" si="12"/>
        <v>专科</v>
      </c>
      <c r="I57" s="7" t="str">
        <f t="shared" si="3"/>
        <v>幼儿园教师资格</v>
      </c>
    </row>
    <row r="58" customHeight="1" spans="1:9">
      <c r="A58" s="6">
        <v>56</v>
      </c>
      <c r="B58" s="7" t="s">
        <v>10</v>
      </c>
      <c r="C58" s="8" t="str">
        <f>"陈海洁"</f>
        <v>陈海洁</v>
      </c>
      <c r="D58" s="8" t="str">
        <f t="shared" si="0"/>
        <v>女</v>
      </c>
      <c r="E58" s="7" t="str">
        <f>"460033199505115086"</f>
        <v>460033199505115086</v>
      </c>
      <c r="F58" s="7" t="str">
        <f>"海南省海口市琼台师范学院"</f>
        <v>海南省海口市琼台师范学院</v>
      </c>
      <c r="G58" s="7" t="str">
        <f t="shared" si="16"/>
        <v>学前教育</v>
      </c>
      <c r="H58" s="7" t="str">
        <f t="shared" si="12"/>
        <v>专科</v>
      </c>
      <c r="I58" s="7" t="str">
        <f t="shared" si="3"/>
        <v>幼儿园教师资格</v>
      </c>
    </row>
    <row r="59" customHeight="1" spans="1:9">
      <c r="A59" s="6">
        <v>57</v>
      </c>
      <c r="B59" s="7" t="s">
        <v>12</v>
      </c>
      <c r="C59" s="8" t="str">
        <f>"吴灵"</f>
        <v>吴灵</v>
      </c>
      <c r="D59" s="8" t="str">
        <f t="shared" si="0"/>
        <v>女</v>
      </c>
      <c r="E59" s="7" t="str">
        <f>"460027199707074721"</f>
        <v>460027199707074721</v>
      </c>
      <c r="F59" s="7" t="str">
        <f t="shared" ref="F59:F64" si="17">"海南热带海洋学院"</f>
        <v>海南热带海洋学院</v>
      </c>
      <c r="G59" s="7" t="str">
        <f>"学前教育（师范）"</f>
        <v>学前教育（师范）</v>
      </c>
      <c r="H59" s="7" t="str">
        <f t="shared" si="12"/>
        <v>专科</v>
      </c>
      <c r="I59" s="7" t="str">
        <f t="shared" si="3"/>
        <v>幼儿园教师资格</v>
      </c>
    </row>
    <row r="60" customHeight="1" spans="1:9">
      <c r="A60" s="6">
        <v>58</v>
      </c>
      <c r="B60" s="7" t="s">
        <v>12</v>
      </c>
      <c r="C60" s="8" t="str">
        <f>"王莉米"</f>
        <v>王莉米</v>
      </c>
      <c r="D60" s="8" t="str">
        <f t="shared" si="0"/>
        <v>女</v>
      </c>
      <c r="E60" s="7" t="str">
        <f>"460028199406187622"</f>
        <v>460028199406187622</v>
      </c>
      <c r="F60" s="7" t="str">
        <f>"琼台师范学院"</f>
        <v>琼台师范学院</v>
      </c>
      <c r="G60" s="7" t="str">
        <f t="shared" ref="G60:G70" si="18">"学前教育"</f>
        <v>学前教育</v>
      </c>
      <c r="H60" s="7" t="str">
        <f t="shared" si="12"/>
        <v>专科</v>
      </c>
      <c r="I60" s="7" t="str">
        <f t="shared" si="3"/>
        <v>幼儿园教师资格</v>
      </c>
    </row>
    <row r="61" customHeight="1" spans="1:9">
      <c r="A61" s="6">
        <v>59</v>
      </c>
      <c r="B61" s="7" t="s">
        <v>10</v>
      </c>
      <c r="C61" s="8" t="str">
        <f>"赵晓芳"</f>
        <v>赵晓芳</v>
      </c>
      <c r="D61" s="8" t="str">
        <f t="shared" si="0"/>
        <v>女</v>
      </c>
      <c r="E61" s="7" t="str">
        <f>"460007199409174366"</f>
        <v>460007199409174366</v>
      </c>
      <c r="F61" s="7" t="str">
        <f>"海南师范大学"</f>
        <v>海南师范大学</v>
      </c>
      <c r="G61" s="7" t="str">
        <f t="shared" si="18"/>
        <v>学前教育</v>
      </c>
      <c r="H61" s="7" t="str">
        <f t="shared" si="12"/>
        <v>专科</v>
      </c>
      <c r="I61" s="7" t="str">
        <f t="shared" si="3"/>
        <v>幼儿园教师资格</v>
      </c>
    </row>
    <row r="62" customHeight="1" spans="1:9">
      <c r="A62" s="6">
        <v>60</v>
      </c>
      <c r="B62" s="7" t="s">
        <v>11</v>
      </c>
      <c r="C62" s="8" t="str">
        <f>"黄亚群"</f>
        <v>黄亚群</v>
      </c>
      <c r="D62" s="8" t="str">
        <f t="shared" si="0"/>
        <v>女</v>
      </c>
      <c r="E62" s="7" t="str">
        <f>"460034199510152726"</f>
        <v>460034199510152726</v>
      </c>
      <c r="F62" s="7" t="str">
        <f t="shared" si="17"/>
        <v>海南热带海洋学院</v>
      </c>
      <c r="G62" s="7" t="str">
        <f t="shared" si="18"/>
        <v>学前教育</v>
      </c>
      <c r="H62" s="7" t="str">
        <f t="shared" si="12"/>
        <v>专科</v>
      </c>
      <c r="I62" s="7" t="str">
        <f t="shared" si="3"/>
        <v>幼儿园教师资格</v>
      </c>
    </row>
    <row r="63" customHeight="1" spans="1:9">
      <c r="A63" s="6">
        <v>61</v>
      </c>
      <c r="B63" s="7" t="s">
        <v>12</v>
      </c>
      <c r="C63" s="8" t="str">
        <f>"蔡谢璐"</f>
        <v>蔡谢璐</v>
      </c>
      <c r="D63" s="8" t="str">
        <f t="shared" si="0"/>
        <v>女</v>
      </c>
      <c r="E63" s="7" t="str">
        <f>"460004199507090220"</f>
        <v>460004199507090220</v>
      </c>
      <c r="F63" s="7" t="str">
        <f>"琼台师范高等专科学校"</f>
        <v>琼台师范高等专科学校</v>
      </c>
      <c r="G63" s="7" t="str">
        <f t="shared" si="18"/>
        <v>学前教育</v>
      </c>
      <c r="H63" s="7" t="str">
        <f t="shared" si="12"/>
        <v>专科</v>
      </c>
      <c r="I63" s="7" t="str">
        <f t="shared" si="3"/>
        <v>幼儿园教师资格</v>
      </c>
    </row>
    <row r="64" customHeight="1" spans="1:9">
      <c r="A64" s="6">
        <v>62</v>
      </c>
      <c r="B64" s="7" t="s">
        <v>12</v>
      </c>
      <c r="C64" s="8" t="str">
        <f>"符钟妍"</f>
        <v>符钟妍</v>
      </c>
      <c r="D64" s="8" t="str">
        <f t="shared" si="0"/>
        <v>女</v>
      </c>
      <c r="E64" s="7" t="str">
        <f>"46900319950915842X"</f>
        <v>46900319950915842X</v>
      </c>
      <c r="F64" s="7" t="str">
        <f t="shared" si="17"/>
        <v>海南热带海洋学院</v>
      </c>
      <c r="G64" s="7" t="str">
        <f t="shared" si="18"/>
        <v>学前教育</v>
      </c>
      <c r="H64" s="7" t="str">
        <f t="shared" si="12"/>
        <v>专科</v>
      </c>
      <c r="I64" s="7" t="str">
        <f t="shared" si="3"/>
        <v>幼儿园教师资格</v>
      </c>
    </row>
    <row r="65" customHeight="1" spans="1:9">
      <c r="A65" s="6">
        <v>63</v>
      </c>
      <c r="B65" s="7" t="s">
        <v>10</v>
      </c>
      <c r="C65" s="8" t="str">
        <f>"李诗婕"</f>
        <v>李诗婕</v>
      </c>
      <c r="D65" s="8" t="str">
        <f t="shared" si="0"/>
        <v>女</v>
      </c>
      <c r="E65" s="7" t="str">
        <f>"460036199611054829"</f>
        <v>460036199611054829</v>
      </c>
      <c r="F65" s="7" t="str">
        <f>"江西科技学院"</f>
        <v>江西科技学院</v>
      </c>
      <c r="G65" s="7" t="str">
        <f t="shared" si="18"/>
        <v>学前教育</v>
      </c>
      <c r="H65" s="7" t="str">
        <f>"本科"</f>
        <v>本科</v>
      </c>
      <c r="I65" s="7" t="str">
        <f t="shared" si="3"/>
        <v>幼儿园教师资格</v>
      </c>
    </row>
    <row r="66" customHeight="1" spans="1:9">
      <c r="A66" s="6">
        <v>64</v>
      </c>
      <c r="B66" s="7" t="s">
        <v>10</v>
      </c>
      <c r="C66" s="8" t="str">
        <f>"许菊艳"</f>
        <v>许菊艳</v>
      </c>
      <c r="D66" s="8" t="str">
        <f t="shared" si="0"/>
        <v>女</v>
      </c>
      <c r="E66" s="7" t="str">
        <f>"460006199706120624"</f>
        <v>460006199706120624</v>
      </c>
      <c r="F66" s="7" t="str">
        <f>"恩施职业技术学院"</f>
        <v>恩施职业技术学院</v>
      </c>
      <c r="G66" s="7" t="str">
        <f t="shared" si="18"/>
        <v>学前教育</v>
      </c>
      <c r="H66" s="7" t="str">
        <f t="shared" ref="H66:H71" si="19">"专科"</f>
        <v>专科</v>
      </c>
      <c r="I66" s="7" t="str">
        <f t="shared" si="3"/>
        <v>幼儿园教师资格</v>
      </c>
    </row>
    <row r="67" customHeight="1" spans="1:9">
      <c r="A67" s="6">
        <v>65</v>
      </c>
      <c r="B67" s="7" t="s">
        <v>10</v>
      </c>
      <c r="C67" s="8" t="str">
        <f>"王妹"</f>
        <v>王妹</v>
      </c>
      <c r="D67" s="8" t="str">
        <f t="shared" ref="D67:D95" si="20">"女"</f>
        <v>女</v>
      </c>
      <c r="E67" s="7" t="str">
        <f>"460003199709273221"</f>
        <v>460003199709273221</v>
      </c>
      <c r="F67" s="7" t="str">
        <f>"云南师范大学商学院"</f>
        <v>云南师范大学商学院</v>
      </c>
      <c r="G67" s="7" t="str">
        <f t="shared" si="18"/>
        <v>学前教育</v>
      </c>
      <c r="H67" s="7" t="str">
        <f>"本科"</f>
        <v>本科</v>
      </c>
      <c r="I67" s="7" t="str">
        <f t="shared" ref="I67:I130" si="21">"幼儿园教师资格"</f>
        <v>幼儿园教师资格</v>
      </c>
    </row>
    <row r="68" customHeight="1" spans="1:9">
      <c r="A68" s="6">
        <v>66</v>
      </c>
      <c r="B68" s="7" t="s">
        <v>10</v>
      </c>
      <c r="C68" s="8" t="str">
        <f>"黄海丽"</f>
        <v>黄海丽</v>
      </c>
      <c r="D68" s="8" t="str">
        <f t="shared" si="20"/>
        <v>女</v>
      </c>
      <c r="E68" s="7" t="str">
        <f>"460005199610053029"</f>
        <v>460005199610053029</v>
      </c>
      <c r="F68" s="7" t="str">
        <f>"琼台师范学院"</f>
        <v>琼台师范学院</v>
      </c>
      <c r="G68" s="7" t="str">
        <f t="shared" si="18"/>
        <v>学前教育</v>
      </c>
      <c r="H68" s="7" t="str">
        <f t="shared" si="19"/>
        <v>专科</v>
      </c>
      <c r="I68" s="7" t="str">
        <f t="shared" si="21"/>
        <v>幼儿园教师资格</v>
      </c>
    </row>
    <row r="69" customHeight="1" spans="1:9">
      <c r="A69" s="6">
        <v>67</v>
      </c>
      <c r="B69" s="7" t="s">
        <v>10</v>
      </c>
      <c r="C69" s="8" t="str">
        <f>"刘杰"</f>
        <v>刘杰</v>
      </c>
      <c r="D69" s="8" t="str">
        <f>"男"</f>
        <v>男</v>
      </c>
      <c r="E69" s="7" t="str">
        <f>"152701199412204510"</f>
        <v>152701199412204510</v>
      </c>
      <c r="F69" s="7" t="str">
        <f>"内蒙古师范大学"</f>
        <v>内蒙古师范大学</v>
      </c>
      <c r="G69" s="7" t="str">
        <f t="shared" si="18"/>
        <v>学前教育</v>
      </c>
      <c r="H69" s="7" t="str">
        <f t="shared" ref="H69:H73" si="22">"专科(高职)"</f>
        <v>专科(高职)</v>
      </c>
      <c r="I69" s="7" t="str">
        <f t="shared" si="21"/>
        <v>幼儿园教师资格</v>
      </c>
    </row>
    <row r="70" customHeight="1" spans="1:9">
      <c r="A70" s="6">
        <v>68</v>
      </c>
      <c r="B70" s="7" t="s">
        <v>10</v>
      </c>
      <c r="C70" s="8" t="str">
        <f>"卢虹杉"</f>
        <v>卢虹杉</v>
      </c>
      <c r="D70" s="8" t="str">
        <f t="shared" si="20"/>
        <v>女</v>
      </c>
      <c r="E70" s="7" t="str">
        <f>"460033199404056304"</f>
        <v>460033199404056304</v>
      </c>
      <c r="F70" s="7" t="str">
        <f>"琼台师范学院"</f>
        <v>琼台师范学院</v>
      </c>
      <c r="G70" s="7" t="str">
        <f t="shared" si="18"/>
        <v>学前教育</v>
      </c>
      <c r="H70" s="7" t="str">
        <f t="shared" si="22"/>
        <v>专科(高职)</v>
      </c>
      <c r="I70" s="7" t="str">
        <f t="shared" si="21"/>
        <v>幼儿园教师资格</v>
      </c>
    </row>
    <row r="71" customHeight="1" spans="1:9">
      <c r="A71" s="6">
        <v>69</v>
      </c>
      <c r="B71" s="7" t="s">
        <v>12</v>
      </c>
      <c r="C71" s="8" t="str">
        <f>"梁育优"</f>
        <v>梁育优</v>
      </c>
      <c r="D71" s="8" t="str">
        <f t="shared" si="20"/>
        <v>女</v>
      </c>
      <c r="E71" s="7" t="str">
        <f>"460028199410156423"</f>
        <v>460028199410156423</v>
      </c>
      <c r="F71" s="7" t="str">
        <f>"海南热带海洋学院"</f>
        <v>海南热带海洋学院</v>
      </c>
      <c r="G71" s="7" t="str">
        <f>"学前教育（语文方向）"</f>
        <v>学前教育（语文方向）</v>
      </c>
      <c r="H71" s="7" t="str">
        <f t="shared" si="19"/>
        <v>专科</v>
      </c>
      <c r="I71" s="7" t="str">
        <f t="shared" si="21"/>
        <v>幼儿园教师资格</v>
      </c>
    </row>
    <row r="72" customHeight="1" spans="1:9">
      <c r="A72" s="6">
        <v>70</v>
      </c>
      <c r="B72" s="7" t="s">
        <v>11</v>
      </c>
      <c r="C72" s="8" t="str">
        <f>"罗润璇"</f>
        <v>罗润璇</v>
      </c>
      <c r="D72" s="8" t="str">
        <f t="shared" si="20"/>
        <v>女</v>
      </c>
      <c r="E72" s="7" t="str">
        <f>"460003199606091628"</f>
        <v>460003199606091628</v>
      </c>
      <c r="F72" s="7" t="str">
        <f>"琼台师范学校"</f>
        <v>琼台师范学校</v>
      </c>
      <c r="G72" s="7" t="str">
        <f>"学前教育（英语方向）"</f>
        <v>学前教育（英语方向）</v>
      </c>
      <c r="H72" s="7" t="str">
        <f t="shared" si="22"/>
        <v>专科(高职)</v>
      </c>
      <c r="I72" s="7" t="str">
        <f t="shared" si="21"/>
        <v>幼儿园教师资格</v>
      </c>
    </row>
    <row r="73" customHeight="1" spans="1:9">
      <c r="A73" s="6">
        <v>71</v>
      </c>
      <c r="B73" s="7" t="s">
        <v>10</v>
      </c>
      <c r="C73" s="8" t="str">
        <f>"张秋雨"</f>
        <v>张秋雨</v>
      </c>
      <c r="D73" s="8" t="str">
        <f t="shared" si="20"/>
        <v>女</v>
      </c>
      <c r="E73" s="7" t="str">
        <f>"500243199508144663"</f>
        <v>500243199508144663</v>
      </c>
      <c r="F73" s="7" t="str">
        <f>"重庆市师范大学"</f>
        <v>重庆市师范大学</v>
      </c>
      <c r="G73" s="7" t="str">
        <f t="shared" ref="G73:G81" si="23">"学前教育"</f>
        <v>学前教育</v>
      </c>
      <c r="H73" s="7" t="str">
        <f t="shared" si="22"/>
        <v>专科(高职)</v>
      </c>
      <c r="I73" s="7" t="str">
        <f t="shared" si="21"/>
        <v>幼儿园教师资格</v>
      </c>
    </row>
    <row r="74" customHeight="1" spans="1:9">
      <c r="A74" s="6">
        <v>72</v>
      </c>
      <c r="B74" s="7" t="s">
        <v>11</v>
      </c>
      <c r="C74" s="8" t="str">
        <f>"谢幼萍"</f>
        <v>谢幼萍</v>
      </c>
      <c r="D74" s="8" t="str">
        <f t="shared" si="20"/>
        <v>女</v>
      </c>
      <c r="E74" s="7" t="str">
        <f>"460003199703246820"</f>
        <v>460003199703246820</v>
      </c>
      <c r="F74" s="7" t="str">
        <f>"海南热带海洋学院"</f>
        <v>海南热带海洋学院</v>
      </c>
      <c r="G74" s="7" t="str">
        <f t="shared" si="23"/>
        <v>学前教育</v>
      </c>
      <c r="H74" s="7" t="str">
        <f t="shared" ref="H74:H81" si="24">"专科"</f>
        <v>专科</v>
      </c>
      <c r="I74" s="7" t="str">
        <f t="shared" si="21"/>
        <v>幼儿园教师资格</v>
      </c>
    </row>
    <row r="75" customHeight="1" spans="1:9">
      <c r="A75" s="6">
        <v>73</v>
      </c>
      <c r="B75" s="7" t="s">
        <v>11</v>
      </c>
      <c r="C75" s="8" t="str">
        <f>"吴朝美"</f>
        <v>吴朝美</v>
      </c>
      <c r="D75" s="8" t="str">
        <f t="shared" si="20"/>
        <v>女</v>
      </c>
      <c r="E75" s="7" t="str">
        <f>"460006199111064029"</f>
        <v>460006199111064029</v>
      </c>
      <c r="F75" s="7" t="str">
        <f>"琼台师范"</f>
        <v>琼台师范</v>
      </c>
      <c r="G75" s="7" t="str">
        <f t="shared" si="23"/>
        <v>学前教育</v>
      </c>
      <c r="H75" s="7" t="str">
        <f t="shared" si="24"/>
        <v>专科</v>
      </c>
      <c r="I75" s="7" t="str">
        <f t="shared" si="21"/>
        <v>幼儿园教师资格</v>
      </c>
    </row>
    <row r="76" customHeight="1" spans="1:9">
      <c r="A76" s="6">
        <v>74</v>
      </c>
      <c r="B76" s="7" t="s">
        <v>11</v>
      </c>
      <c r="C76" s="8" t="str">
        <f>"羊笑莹"</f>
        <v>羊笑莹</v>
      </c>
      <c r="D76" s="8" t="str">
        <f t="shared" si="20"/>
        <v>女</v>
      </c>
      <c r="E76" s="7" t="str">
        <f>"460003199409262221"</f>
        <v>460003199409262221</v>
      </c>
      <c r="F76" s="7" t="str">
        <f t="shared" ref="F76:F78" si="25">"琼台师范学院"</f>
        <v>琼台师范学院</v>
      </c>
      <c r="G76" s="7" t="str">
        <f t="shared" si="23"/>
        <v>学前教育</v>
      </c>
      <c r="H76" s="7" t="str">
        <f t="shared" si="24"/>
        <v>专科</v>
      </c>
      <c r="I76" s="7" t="str">
        <f t="shared" si="21"/>
        <v>幼儿园教师资格</v>
      </c>
    </row>
    <row r="77" customHeight="1" spans="1:9">
      <c r="A77" s="6">
        <v>75</v>
      </c>
      <c r="B77" s="7" t="s">
        <v>11</v>
      </c>
      <c r="C77" s="8" t="str">
        <f>"符日遵"</f>
        <v>符日遵</v>
      </c>
      <c r="D77" s="8" t="str">
        <f t="shared" si="20"/>
        <v>女</v>
      </c>
      <c r="E77" s="7" t="str">
        <f>"46000719971121762X"</f>
        <v>46000719971121762X</v>
      </c>
      <c r="F77" s="7" t="str">
        <f t="shared" si="25"/>
        <v>琼台师范学院</v>
      </c>
      <c r="G77" s="7" t="str">
        <f t="shared" si="23"/>
        <v>学前教育</v>
      </c>
      <c r="H77" s="7" t="str">
        <f t="shared" si="24"/>
        <v>专科</v>
      </c>
      <c r="I77" s="7" t="str">
        <f t="shared" si="21"/>
        <v>幼儿园教师资格</v>
      </c>
    </row>
    <row r="78" customHeight="1" spans="1:9">
      <c r="A78" s="6">
        <v>76</v>
      </c>
      <c r="B78" s="7" t="s">
        <v>11</v>
      </c>
      <c r="C78" s="8" t="str">
        <f>"邹玲雨"</f>
        <v>邹玲雨</v>
      </c>
      <c r="D78" s="8" t="str">
        <f t="shared" si="20"/>
        <v>女</v>
      </c>
      <c r="E78" s="7" t="str">
        <f>"460035199507090225"</f>
        <v>460035199507090225</v>
      </c>
      <c r="F78" s="7" t="str">
        <f t="shared" si="25"/>
        <v>琼台师范学院</v>
      </c>
      <c r="G78" s="7" t="str">
        <f t="shared" si="23"/>
        <v>学前教育</v>
      </c>
      <c r="H78" s="7" t="str">
        <f t="shared" si="24"/>
        <v>专科</v>
      </c>
      <c r="I78" s="7" t="str">
        <f t="shared" si="21"/>
        <v>幼儿园教师资格</v>
      </c>
    </row>
    <row r="79" customHeight="1" spans="1:9">
      <c r="A79" s="6">
        <v>77</v>
      </c>
      <c r="B79" s="7" t="s">
        <v>10</v>
      </c>
      <c r="C79" s="8" t="str">
        <f>"吴雨静"</f>
        <v>吴雨静</v>
      </c>
      <c r="D79" s="8" t="str">
        <f t="shared" si="20"/>
        <v>女</v>
      </c>
      <c r="E79" s="7" t="str">
        <f>"460300199803150022"</f>
        <v>460300199803150022</v>
      </c>
      <c r="F79" s="7" t="str">
        <f>"闽北职业技术学院"</f>
        <v>闽北职业技术学院</v>
      </c>
      <c r="G79" s="7" t="str">
        <f t="shared" si="23"/>
        <v>学前教育</v>
      </c>
      <c r="H79" s="7" t="str">
        <f t="shared" si="24"/>
        <v>专科</v>
      </c>
      <c r="I79" s="7" t="str">
        <f t="shared" si="21"/>
        <v>幼儿园教师资格</v>
      </c>
    </row>
    <row r="80" customHeight="1" spans="1:9">
      <c r="A80" s="6">
        <v>78</v>
      </c>
      <c r="B80" s="7" t="s">
        <v>10</v>
      </c>
      <c r="C80" s="8" t="str">
        <f>"文巨月"</f>
        <v>文巨月</v>
      </c>
      <c r="D80" s="8" t="str">
        <f t="shared" si="20"/>
        <v>女</v>
      </c>
      <c r="E80" s="7" t="str">
        <f>"46003119930822642X"</f>
        <v>46003119930822642X</v>
      </c>
      <c r="F80" s="7" t="str">
        <f>"琼台师范高等专科学校"</f>
        <v>琼台师范高等专科学校</v>
      </c>
      <c r="G80" s="7" t="str">
        <f t="shared" si="23"/>
        <v>学前教育</v>
      </c>
      <c r="H80" s="7" t="str">
        <f t="shared" si="24"/>
        <v>专科</v>
      </c>
      <c r="I80" s="7" t="str">
        <f t="shared" si="21"/>
        <v>幼儿园教师资格</v>
      </c>
    </row>
    <row r="81" customHeight="1" spans="1:9">
      <c r="A81" s="6">
        <v>79</v>
      </c>
      <c r="B81" s="7" t="s">
        <v>10</v>
      </c>
      <c r="C81" s="8" t="str">
        <f>"罗柳玉"</f>
        <v>罗柳玉</v>
      </c>
      <c r="D81" s="8" t="str">
        <f t="shared" si="20"/>
        <v>女</v>
      </c>
      <c r="E81" s="7" t="str">
        <f>"460006199607112725"</f>
        <v>460006199607112725</v>
      </c>
      <c r="F81" s="7" t="str">
        <f>"宜春职业技术学院"</f>
        <v>宜春职业技术学院</v>
      </c>
      <c r="G81" s="7" t="str">
        <f t="shared" si="23"/>
        <v>学前教育</v>
      </c>
      <c r="H81" s="7" t="str">
        <f t="shared" si="24"/>
        <v>专科</v>
      </c>
      <c r="I81" s="7" t="str">
        <f t="shared" si="21"/>
        <v>幼儿园教师资格</v>
      </c>
    </row>
    <row r="82" customHeight="1" spans="1:9">
      <c r="A82" s="6">
        <v>80</v>
      </c>
      <c r="B82" s="7" t="s">
        <v>10</v>
      </c>
      <c r="C82" s="8" t="str">
        <f>"周文婷"</f>
        <v>周文婷</v>
      </c>
      <c r="D82" s="8" t="str">
        <f t="shared" si="20"/>
        <v>女</v>
      </c>
      <c r="E82" s="7" t="str">
        <f>"46002719940305852X"</f>
        <v>46002719940305852X</v>
      </c>
      <c r="F82" s="7" t="str">
        <f>"云南玉溪师范学院"</f>
        <v>云南玉溪师范学院</v>
      </c>
      <c r="G82" s="7" t="str">
        <f>"学前教育专业"</f>
        <v>学前教育专业</v>
      </c>
      <c r="H82" s="7" t="str">
        <f>"本科"</f>
        <v>本科</v>
      </c>
      <c r="I82" s="7" t="str">
        <f t="shared" si="21"/>
        <v>幼儿园教师资格</v>
      </c>
    </row>
    <row r="83" customHeight="1" spans="1:9">
      <c r="A83" s="6">
        <v>81</v>
      </c>
      <c r="B83" s="7" t="s">
        <v>12</v>
      </c>
      <c r="C83" s="8" t="str">
        <f>"谢南玉"</f>
        <v>谢南玉</v>
      </c>
      <c r="D83" s="8" t="str">
        <f t="shared" si="20"/>
        <v>女</v>
      </c>
      <c r="E83" s="7" t="str">
        <f>"460006199401031620"</f>
        <v>460006199401031620</v>
      </c>
      <c r="F83" s="7" t="str">
        <f>"琼台师范高等专科学校"</f>
        <v>琼台师范高等专科学校</v>
      </c>
      <c r="G83" s="7" t="str">
        <f t="shared" ref="G83:G87" si="26">"学前教育"</f>
        <v>学前教育</v>
      </c>
      <c r="H83" s="7" t="str">
        <f t="shared" ref="H83:H86" si="27">"专科"</f>
        <v>专科</v>
      </c>
      <c r="I83" s="7" t="str">
        <f t="shared" si="21"/>
        <v>幼儿园教师资格</v>
      </c>
    </row>
    <row r="84" customHeight="1" spans="1:9">
      <c r="A84" s="6">
        <v>82</v>
      </c>
      <c r="B84" s="7" t="s">
        <v>10</v>
      </c>
      <c r="C84" s="8" t="str">
        <f>"罗晶"</f>
        <v>罗晶</v>
      </c>
      <c r="D84" s="8" t="str">
        <f t="shared" si="20"/>
        <v>女</v>
      </c>
      <c r="E84" s="7" t="str">
        <f>"460033199411127166"</f>
        <v>460033199411127166</v>
      </c>
      <c r="F84" s="7" t="str">
        <f t="shared" ref="F84:F86" si="28">"琼台师范学院"</f>
        <v>琼台师范学院</v>
      </c>
      <c r="G84" s="7" t="str">
        <f t="shared" si="26"/>
        <v>学前教育</v>
      </c>
      <c r="H84" s="7" t="str">
        <f t="shared" si="27"/>
        <v>专科</v>
      </c>
      <c r="I84" s="7" t="str">
        <f t="shared" si="21"/>
        <v>幼儿园教师资格</v>
      </c>
    </row>
    <row r="85" customHeight="1" spans="1:9">
      <c r="A85" s="6">
        <v>83</v>
      </c>
      <c r="B85" s="7" t="s">
        <v>11</v>
      </c>
      <c r="C85" s="8" t="str">
        <f>"林忠曼"</f>
        <v>林忠曼</v>
      </c>
      <c r="D85" s="8" t="str">
        <f t="shared" si="20"/>
        <v>女</v>
      </c>
      <c r="E85" s="7" t="str">
        <f>"460003199608042643"</f>
        <v>460003199608042643</v>
      </c>
      <c r="F85" s="7" t="str">
        <f t="shared" si="28"/>
        <v>琼台师范学院</v>
      </c>
      <c r="G85" s="7" t="str">
        <f t="shared" si="26"/>
        <v>学前教育</v>
      </c>
      <c r="H85" s="7" t="str">
        <f t="shared" si="27"/>
        <v>专科</v>
      </c>
      <c r="I85" s="7" t="str">
        <f t="shared" si="21"/>
        <v>幼儿园教师资格</v>
      </c>
    </row>
    <row r="86" customHeight="1" spans="1:9">
      <c r="A86" s="6">
        <v>84</v>
      </c>
      <c r="B86" s="7" t="s">
        <v>12</v>
      </c>
      <c r="C86" s="8" t="str">
        <f>"陈克慧"</f>
        <v>陈克慧</v>
      </c>
      <c r="D86" s="8" t="str">
        <f t="shared" si="20"/>
        <v>女</v>
      </c>
      <c r="E86" s="7" t="str">
        <f>"460031199312206448"</f>
        <v>460031199312206448</v>
      </c>
      <c r="F86" s="7" t="str">
        <f t="shared" si="28"/>
        <v>琼台师范学院</v>
      </c>
      <c r="G86" s="7" t="str">
        <f t="shared" si="26"/>
        <v>学前教育</v>
      </c>
      <c r="H86" s="7" t="str">
        <f t="shared" si="27"/>
        <v>专科</v>
      </c>
      <c r="I86" s="7" t="str">
        <f t="shared" si="21"/>
        <v>幼儿园教师资格</v>
      </c>
    </row>
    <row r="87" customHeight="1" spans="1:9">
      <c r="A87" s="6">
        <v>85</v>
      </c>
      <c r="B87" s="7" t="s">
        <v>10</v>
      </c>
      <c r="C87" s="8" t="str">
        <f>"林婉"</f>
        <v>林婉</v>
      </c>
      <c r="D87" s="8" t="str">
        <f t="shared" si="20"/>
        <v>女</v>
      </c>
      <c r="E87" s="7" t="str">
        <f>"46000519970508432X"</f>
        <v>46000519970508432X</v>
      </c>
      <c r="F87" s="7" t="str">
        <f>"曲靖师范学院"</f>
        <v>曲靖师范学院</v>
      </c>
      <c r="G87" s="7" t="str">
        <f t="shared" si="26"/>
        <v>学前教育</v>
      </c>
      <c r="H87" s="7" t="str">
        <f>"本科"</f>
        <v>本科</v>
      </c>
      <c r="I87" s="7" t="str">
        <f t="shared" si="21"/>
        <v>幼儿园教师资格</v>
      </c>
    </row>
    <row r="88" customHeight="1" spans="1:9">
      <c r="A88" s="6">
        <v>86</v>
      </c>
      <c r="B88" s="7" t="s">
        <v>12</v>
      </c>
      <c r="C88" s="8" t="str">
        <f>"唐小霞"</f>
        <v>唐小霞</v>
      </c>
      <c r="D88" s="8" t="str">
        <f t="shared" si="20"/>
        <v>女</v>
      </c>
      <c r="E88" s="7" t="str">
        <f>"46000319901020306X"</f>
        <v>46000319901020306X</v>
      </c>
      <c r="F88" s="7" t="str">
        <f>"琼州学院"</f>
        <v>琼州学院</v>
      </c>
      <c r="G88" s="7" t="str">
        <f>"学前教育专业"</f>
        <v>学前教育专业</v>
      </c>
      <c r="H88" s="7" t="str">
        <f t="shared" ref="H88:H92" si="29">"专科"</f>
        <v>专科</v>
      </c>
      <c r="I88" s="7" t="str">
        <f t="shared" si="21"/>
        <v>幼儿园教师资格</v>
      </c>
    </row>
    <row r="89" customHeight="1" spans="1:9">
      <c r="A89" s="6">
        <v>87</v>
      </c>
      <c r="B89" s="7" t="s">
        <v>11</v>
      </c>
      <c r="C89" s="8" t="str">
        <f>"陈燕芳"</f>
        <v>陈燕芳</v>
      </c>
      <c r="D89" s="8" t="str">
        <f t="shared" si="20"/>
        <v>女</v>
      </c>
      <c r="E89" s="7" t="str">
        <f>"460033199403303887"</f>
        <v>460033199403303887</v>
      </c>
      <c r="F89" s="7" t="str">
        <f>"琼台师范高等专科学校"</f>
        <v>琼台师范高等专科学校</v>
      </c>
      <c r="G89" s="7" t="str">
        <f t="shared" ref="G89:G94" si="30">"学前教育"</f>
        <v>学前教育</v>
      </c>
      <c r="H89" s="12" t="s">
        <v>13</v>
      </c>
      <c r="I89" s="7" t="str">
        <f t="shared" si="21"/>
        <v>幼儿园教师资格</v>
      </c>
    </row>
    <row r="90" customHeight="1" spans="1:9">
      <c r="A90" s="6">
        <v>88</v>
      </c>
      <c r="B90" s="7" t="s">
        <v>10</v>
      </c>
      <c r="C90" s="8" t="str">
        <f>"彭国凤"</f>
        <v>彭国凤</v>
      </c>
      <c r="D90" s="8" t="str">
        <f t="shared" si="20"/>
        <v>女</v>
      </c>
      <c r="E90" s="7" t="str">
        <f>"46002719920825762X"</f>
        <v>46002719920825762X</v>
      </c>
      <c r="F90" s="7" t="str">
        <f>"贵州工程应用技术学院"</f>
        <v>贵州工程应用技术学院</v>
      </c>
      <c r="G90" s="7" t="str">
        <f t="shared" si="30"/>
        <v>学前教育</v>
      </c>
      <c r="H90" s="7" t="str">
        <f t="shared" ref="H90:H95" si="31">"本科"</f>
        <v>本科</v>
      </c>
      <c r="I90" s="7" t="str">
        <f t="shared" si="21"/>
        <v>幼儿园教师资格</v>
      </c>
    </row>
    <row r="91" customHeight="1" spans="1:9">
      <c r="A91" s="6">
        <v>89</v>
      </c>
      <c r="B91" s="7" t="s">
        <v>11</v>
      </c>
      <c r="C91" s="8" t="str">
        <f>"冯艳"</f>
        <v>冯艳</v>
      </c>
      <c r="D91" s="8" t="str">
        <f t="shared" si="20"/>
        <v>女</v>
      </c>
      <c r="E91" s="7" t="str">
        <f>"460025199504152424"</f>
        <v>460025199504152424</v>
      </c>
      <c r="F91" s="7" t="str">
        <f>"海南热带海洋学院"</f>
        <v>海南热带海洋学院</v>
      </c>
      <c r="G91" s="7" t="str">
        <f t="shared" si="30"/>
        <v>学前教育</v>
      </c>
      <c r="H91" s="7" t="str">
        <f t="shared" si="29"/>
        <v>专科</v>
      </c>
      <c r="I91" s="7" t="str">
        <f t="shared" si="21"/>
        <v>幼儿园教师资格</v>
      </c>
    </row>
    <row r="92" customHeight="1" spans="1:9">
      <c r="A92" s="6">
        <v>90</v>
      </c>
      <c r="B92" s="7" t="s">
        <v>12</v>
      </c>
      <c r="C92" s="8" t="str">
        <f>"李秋菊"</f>
        <v>李秋菊</v>
      </c>
      <c r="D92" s="8" t="str">
        <f t="shared" si="20"/>
        <v>女</v>
      </c>
      <c r="E92" s="7" t="str">
        <f>"469003199207237341"</f>
        <v>469003199207237341</v>
      </c>
      <c r="F92" s="7" t="str">
        <f>"衡水学院"</f>
        <v>衡水学院</v>
      </c>
      <c r="G92" s="7" t="str">
        <f t="shared" si="30"/>
        <v>学前教育</v>
      </c>
      <c r="H92" s="7" t="str">
        <f t="shared" si="29"/>
        <v>专科</v>
      </c>
      <c r="I92" s="7" t="str">
        <f t="shared" si="21"/>
        <v>幼儿园教师资格</v>
      </c>
    </row>
    <row r="93" customHeight="1" spans="1:9">
      <c r="A93" s="6">
        <v>91</v>
      </c>
      <c r="B93" s="7" t="s">
        <v>12</v>
      </c>
      <c r="C93" s="8" t="str">
        <f>"吴月连"</f>
        <v>吴月连</v>
      </c>
      <c r="D93" s="8" t="str">
        <f t="shared" si="20"/>
        <v>女</v>
      </c>
      <c r="E93" s="7" t="str">
        <f>"460003199007193040"</f>
        <v>460003199007193040</v>
      </c>
      <c r="F93" s="7" t="str">
        <f t="shared" ref="F93:F98" si="32">"琼台师范学院"</f>
        <v>琼台师范学院</v>
      </c>
      <c r="G93" s="7" t="str">
        <f t="shared" si="30"/>
        <v>学前教育</v>
      </c>
      <c r="H93" s="12" t="s">
        <v>13</v>
      </c>
      <c r="I93" s="7" t="str">
        <f t="shared" si="21"/>
        <v>幼儿园教师资格</v>
      </c>
    </row>
    <row r="94" customHeight="1" spans="1:9">
      <c r="A94" s="6">
        <v>92</v>
      </c>
      <c r="B94" s="7" t="s">
        <v>12</v>
      </c>
      <c r="C94" s="8" t="str">
        <f>"云文辉"</f>
        <v>云文辉</v>
      </c>
      <c r="D94" s="8" t="str">
        <f t="shared" si="20"/>
        <v>女</v>
      </c>
      <c r="E94" s="7" t="str">
        <f>"460022199401024324"</f>
        <v>460022199401024324</v>
      </c>
      <c r="F94" s="7" t="str">
        <f>"石河子大学"</f>
        <v>石河子大学</v>
      </c>
      <c r="G94" s="7" t="str">
        <f t="shared" si="30"/>
        <v>学前教育</v>
      </c>
      <c r="H94" s="7" t="str">
        <f t="shared" si="31"/>
        <v>本科</v>
      </c>
      <c r="I94" s="7" t="str">
        <f t="shared" si="21"/>
        <v>幼儿园教师资格</v>
      </c>
    </row>
    <row r="95" customHeight="1" spans="1:9">
      <c r="A95" s="6">
        <v>93</v>
      </c>
      <c r="B95" s="7" t="s">
        <v>11</v>
      </c>
      <c r="C95" s="8" t="str">
        <f>"符沥元"</f>
        <v>符沥元</v>
      </c>
      <c r="D95" s="8" t="str">
        <f t="shared" si="20"/>
        <v>女</v>
      </c>
      <c r="E95" s="7" t="str">
        <f>"469024199802016422"</f>
        <v>469024199802016422</v>
      </c>
      <c r="F95" s="7" t="str">
        <f>"海南热带海洋学院"</f>
        <v>海南热带海洋学院</v>
      </c>
      <c r="G95" s="7" t="str">
        <f>"学前教育（师范）"</f>
        <v>学前教育（师范）</v>
      </c>
      <c r="H95" s="7" t="str">
        <f t="shared" si="31"/>
        <v>本科</v>
      </c>
      <c r="I95" s="7" t="str">
        <f t="shared" si="21"/>
        <v>幼儿园教师资格</v>
      </c>
    </row>
    <row r="96" customHeight="1" spans="1:9">
      <c r="A96" s="6">
        <v>94</v>
      </c>
      <c r="B96" s="7" t="s">
        <v>10</v>
      </c>
      <c r="C96" s="8" t="str">
        <f>"林志伟"</f>
        <v>林志伟</v>
      </c>
      <c r="D96" s="8" t="str">
        <f>"男"</f>
        <v>男</v>
      </c>
      <c r="E96" s="7" t="str">
        <f>"460027199411065957"</f>
        <v>460027199411065957</v>
      </c>
      <c r="F96" s="7" t="str">
        <f>"西南大学"</f>
        <v>西南大学</v>
      </c>
      <c r="G96" s="7" t="str">
        <f t="shared" ref="G96:G98" si="33">"学前教育"</f>
        <v>学前教育</v>
      </c>
      <c r="H96" s="7" t="str">
        <f t="shared" ref="H96:H110" si="34">"专科"</f>
        <v>专科</v>
      </c>
      <c r="I96" s="7" t="str">
        <f t="shared" si="21"/>
        <v>幼儿园教师资格</v>
      </c>
    </row>
    <row r="97" customHeight="1" spans="1:9">
      <c r="A97" s="6">
        <v>95</v>
      </c>
      <c r="B97" s="7" t="s">
        <v>11</v>
      </c>
      <c r="C97" s="8" t="str">
        <f>"郑珍珍"</f>
        <v>郑珍珍</v>
      </c>
      <c r="D97" s="8" t="str">
        <f t="shared" ref="D97:D160" si="35">"女"</f>
        <v>女</v>
      </c>
      <c r="E97" s="7" t="str">
        <f>"460028199807280828"</f>
        <v>460028199807280828</v>
      </c>
      <c r="F97" s="7" t="str">
        <f t="shared" si="32"/>
        <v>琼台师范学院</v>
      </c>
      <c r="G97" s="7" t="str">
        <f t="shared" si="33"/>
        <v>学前教育</v>
      </c>
      <c r="H97" s="7" t="str">
        <f t="shared" si="34"/>
        <v>专科</v>
      </c>
      <c r="I97" s="7" t="str">
        <f t="shared" si="21"/>
        <v>幼儿园教师资格</v>
      </c>
    </row>
    <row r="98" customHeight="1" spans="1:9">
      <c r="A98" s="6">
        <v>96</v>
      </c>
      <c r="B98" s="7" t="s">
        <v>11</v>
      </c>
      <c r="C98" s="8" t="str">
        <f>"卢思恋"</f>
        <v>卢思恋</v>
      </c>
      <c r="D98" s="8" t="str">
        <f t="shared" si="35"/>
        <v>女</v>
      </c>
      <c r="E98" s="7" t="str">
        <f>"460002199909054123"</f>
        <v>460002199909054123</v>
      </c>
      <c r="F98" s="7" t="str">
        <f t="shared" si="32"/>
        <v>琼台师范学院</v>
      </c>
      <c r="G98" s="7" t="str">
        <f t="shared" si="33"/>
        <v>学前教育</v>
      </c>
      <c r="H98" s="7" t="str">
        <f t="shared" si="34"/>
        <v>专科</v>
      </c>
      <c r="I98" s="7" t="str">
        <f t="shared" si="21"/>
        <v>幼儿园教师资格</v>
      </c>
    </row>
    <row r="99" customHeight="1" spans="1:9">
      <c r="A99" s="6">
        <v>97</v>
      </c>
      <c r="B99" s="7" t="s">
        <v>11</v>
      </c>
      <c r="C99" s="8" t="str">
        <f>"柯珊珊"</f>
        <v>柯珊珊</v>
      </c>
      <c r="D99" s="8" t="str">
        <f t="shared" si="35"/>
        <v>女</v>
      </c>
      <c r="E99" s="7" t="str">
        <f>"460028199411237225"</f>
        <v>460028199411237225</v>
      </c>
      <c r="F99" s="7" t="str">
        <f>"湖北省鄂州职业大学"</f>
        <v>湖北省鄂州职业大学</v>
      </c>
      <c r="G99" s="7" t="str">
        <f>"学前教育专业"</f>
        <v>学前教育专业</v>
      </c>
      <c r="H99" s="7" t="str">
        <f t="shared" si="34"/>
        <v>专科</v>
      </c>
      <c r="I99" s="7" t="str">
        <f t="shared" si="21"/>
        <v>幼儿园教师资格</v>
      </c>
    </row>
    <row r="100" customHeight="1" spans="1:9">
      <c r="A100" s="6">
        <v>98</v>
      </c>
      <c r="B100" s="7" t="s">
        <v>10</v>
      </c>
      <c r="C100" s="8" t="str">
        <f>"李晓玲"</f>
        <v>李晓玲</v>
      </c>
      <c r="D100" s="8" t="str">
        <f t="shared" si="35"/>
        <v>女</v>
      </c>
      <c r="E100" s="7" t="str">
        <f>"533222199611022046"</f>
        <v>533222199611022046</v>
      </c>
      <c r="F100" s="7" t="str">
        <f t="shared" ref="F100:F102" si="36">"琼台师范学院"</f>
        <v>琼台师范学院</v>
      </c>
      <c r="G100" s="7" t="str">
        <f>"学前教育（英语方向）"</f>
        <v>学前教育（英语方向）</v>
      </c>
      <c r="H100" s="7" t="str">
        <f t="shared" si="34"/>
        <v>专科</v>
      </c>
      <c r="I100" s="7" t="str">
        <f t="shared" si="21"/>
        <v>幼儿园教师资格</v>
      </c>
    </row>
    <row r="101" customHeight="1" spans="1:9">
      <c r="A101" s="6">
        <v>99</v>
      </c>
      <c r="B101" s="7" t="s">
        <v>11</v>
      </c>
      <c r="C101" s="8" t="str">
        <f>"黄青梅"</f>
        <v>黄青梅</v>
      </c>
      <c r="D101" s="8" t="str">
        <f t="shared" si="35"/>
        <v>女</v>
      </c>
      <c r="E101" s="7" t="str">
        <f>"460026199607212123"</f>
        <v>460026199607212123</v>
      </c>
      <c r="F101" s="7" t="str">
        <f t="shared" si="36"/>
        <v>琼台师范学院</v>
      </c>
      <c r="G101" s="7" t="str">
        <f>"学前教育英语方向"</f>
        <v>学前教育英语方向</v>
      </c>
      <c r="H101" s="7" t="str">
        <f t="shared" si="34"/>
        <v>专科</v>
      </c>
      <c r="I101" s="7" t="str">
        <f t="shared" si="21"/>
        <v>幼儿园教师资格</v>
      </c>
    </row>
    <row r="102" customHeight="1" spans="1:9">
      <c r="A102" s="6">
        <v>100</v>
      </c>
      <c r="B102" s="7" t="s">
        <v>10</v>
      </c>
      <c r="C102" s="8" t="str">
        <f>"卢松平"</f>
        <v>卢松平</v>
      </c>
      <c r="D102" s="8" t="str">
        <f t="shared" si="35"/>
        <v>女</v>
      </c>
      <c r="E102" s="7" t="str">
        <f>"460003199901015820"</f>
        <v>460003199901015820</v>
      </c>
      <c r="F102" s="7" t="str">
        <f t="shared" si="36"/>
        <v>琼台师范学院</v>
      </c>
      <c r="G102" s="7" t="str">
        <f t="shared" ref="G102:G107" si="37">"学前教育"</f>
        <v>学前教育</v>
      </c>
      <c r="H102" s="7" t="str">
        <f t="shared" si="34"/>
        <v>专科</v>
      </c>
      <c r="I102" s="7" t="str">
        <f t="shared" si="21"/>
        <v>幼儿园教师资格</v>
      </c>
    </row>
    <row r="103" customHeight="1" spans="1:9">
      <c r="A103" s="6">
        <v>101</v>
      </c>
      <c r="B103" s="7" t="s">
        <v>11</v>
      </c>
      <c r="C103" s="8" t="str">
        <f>"陈荣净"</f>
        <v>陈荣净</v>
      </c>
      <c r="D103" s="8" t="str">
        <f t="shared" si="35"/>
        <v>女</v>
      </c>
      <c r="E103" s="7" t="str">
        <f>"460027199510083026"</f>
        <v>460027199510083026</v>
      </c>
      <c r="F103" s="7" t="str">
        <f>"海南热带海洋学院"</f>
        <v>海南热带海洋学院</v>
      </c>
      <c r="G103" s="7" t="str">
        <f t="shared" si="37"/>
        <v>学前教育</v>
      </c>
      <c r="H103" s="7" t="str">
        <f t="shared" si="34"/>
        <v>专科</v>
      </c>
      <c r="I103" s="7" t="str">
        <f t="shared" si="21"/>
        <v>幼儿园教师资格</v>
      </c>
    </row>
    <row r="104" customHeight="1" spans="1:9">
      <c r="A104" s="6">
        <v>102</v>
      </c>
      <c r="B104" s="7" t="s">
        <v>11</v>
      </c>
      <c r="C104" s="8" t="str">
        <f>"陈英智"</f>
        <v>陈英智</v>
      </c>
      <c r="D104" s="8" t="str">
        <f t="shared" si="35"/>
        <v>女</v>
      </c>
      <c r="E104" s="7" t="str">
        <f>"460006199107104040"</f>
        <v>460006199107104040</v>
      </c>
      <c r="F104" s="7" t="str">
        <f>"热带海洋学院"</f>
        <v>热带海洋学院</v>
      </c>
      <c r="G104" s="7" t="str">
        <f t="shared" si="37"/>
        <v>学前教育</v>
      </c>
      <c r="H104" s="7" t="str">
        <f t="shared" si="34"/>
        <v>专科</v>
      </c>
      <c r="I104" s="7" t="str">
        <f t="shared" si="21"/>
        <v>幼儿园教师资格</v>
      </c>
    </row>
    <row r="105" customHeight="1" spans="1:9">
      <c r="A105" s="6">
        <v>103</v>
      </c>
      <c r="B105" s="7" t="s">
        <v>11</v>
      </c>
      <c r="C105" s="8" t="str">
        <f>"曾霜苗"</f>
        <v>曾霜苗</v>
      </c>
      <c r="D105" s="8" t="str">
        <f t="shared" si="35"/>
        <v>女</v>
      </c>
      <c r="E105" s="7" t="str">
        <f>"460027199410131027"</f>
        <v>460027199410131027</v>
      </c>
      <c r="F105" s="7" t="str">
        <f t="shared" ref="F105:F110" si="38">"琼台师范学院"</f>
        <v>琼台师范学院</v>
      </c>
      <c r="G105" s="7" t="str">
        <f t="shared" si="37"/>
        <v>学前教育</v>
      </c>
      <c r="H105" s="7" t="str">
        <f t="shared" si="34"/>
        <v>专科</v>
      </c>
      <c r="I105" s="7" t="str">
        <f t="shared" si="21"/>
        <v>幼儿园教师资格</v>
      </c>
    </row>
    <row r="106" customHeight="1" spans="1:9">
      <c r="A106" s="6">
        <v>104</v>
      </c>
      <c r="B106" s="7" t="s">
        <v>10</v>
      </c>
      <c r="C106" s="8" t="str">
        <f>"  郑佳妃"</f>
        <v>  郑佳妃</v>
      </c>
      <c r="D106" s="8" t="str">
        <f t="shared" si="35"/>
        <v>女</v>
      </c>
      <c r="E106" s="7" t="str">
        <f>"460003199711222626"</f>
        <v>460003199711222626</v>
      </c>
      <c r="F106" s="7" t="str">
        <f>" 海南热带海洋学院"</f>
        <v> 海南热带海洋学院</v>
      </c>
      <c r="G106" s="7" t="str">
        <f t="shared" si="37"/>
        <v>学前教育</v>
      </c>
      <c r="H106" s="7" t="str">
        <f t="shared" si="34"/>
        <v>专科</v>
      </c>
      <c r="I106" s="7" t="str">
        <f t="shared" si="21"/>
        <v>幼儿园教师资格</v>
      </c>
    </row>
    <row r="107" customHeight="1" spans="1:9">
      <c r="A107" s="6">
        <v>105</v>
      </c>
      <c r="B107" s="7" t="s">
        <v>10</v>
      </c>
      <c r="C107" s="8" t="str">
        <f>"陈贝贝"</f>
        <v>陈贝贝</v>
      </c>
      <c r="D107" s="8" t="str">
        <f t="shared" si="35"/>
        <v>女</v>
      </c>
      <c r="E107" s="7" t="str">
        <f>"460028199708240425"</f>
        <v>460028199708240425</v>
      </c>
      <c r="F107" s="7" t="str">
        <f t="shared" si="38"/>
        <v>琼台师范学院</v>
      </c>
      <c r="G107" s="7" t="str">
        <f t="shared" si="37"/>
        <v>学前教育</v>
      </c>
      <c r="H107" s="7" t="str">
        <f t="shared" si="34"/>
        <v>专科</v>
      </c>
      <c r="I107" s="7" t="str">
        <f t="shared" si="21"/>
        <v>幼儿园教师资格</v>
      </c>
    </row>
    <row r="108" customHeight="1" spans="1:9">
      <c r="A108" s="6">
        <v>106</v>
      </c>
      <c r="B108" s="7" t="s">
        <v>10</v>
      </c>
      <c r="C108" s="8" t="str">
        <f>"邢娇"</f>
        <v>邢娇</v>
      </c>
      <c r="D108" s="8" t="str">
        <f t="shared" si="35"/>
        <v>女</v>
      </c>
      <c r="E108" s="7" t="str">
        <f>"460033199405263225"</f>
        <v>460033199405263225</v>
      </c>
      <c r="F108" s="7" t="str">
        <f t="shared" si="38"/>
        <v>琼台师范学院</v>
      </c>
      <c r="G108" s="7" t="str">
        <f>"学前教育（英语方向）"</f>
        <v>学前教育（英语方向）</v>
      </c>
      <c r="H108" s="7" t="str">
        <f t="shared" si="34"/>
        <v>专科</v>
      </c>
      <c r="I108" s="7" t="str">
        <f t="shared" si="21"/>
        <v>幼儿园教师资格</v>
      </c>
    </row>
    <row r="109" customHeight="1" spans="1:9">
      <c r="A109" s="6">
        <v>107</v>
      </c>
      <c r="B109" s="7" t="s">
        <v>11</v>
      </c>
      <c r="C109" s="8" t="str">
        <f>"谢燕妹"</f>
        <v>谢燕妹</v>
      </c>
      <c r="D109" s="8" t="str">
        <f t="shared" si="35"/>
        <v>女</v>
      </c>
      <c r="E109" s="7" t="str">
        <f>"460028199512136829"</f>
        <v>460028199512136829</v>
      </c>
      <c r="F109" s="7" t="str">
        <f t="shared" si="38"/>
        <v>琼台师范学院</v>
      </c>
      <c r="G109" s="7" t="str">
        <f t="shared" ref="G109:G113" si="39">"学前教育"</f>
        <v>学前教育</v>
      </c>
      <c r="H109" s="7" t="str">
        <f t="shared" si="34"/>
        <v>专科</v>
      </c>
      <c r="I109" s="7" t="str">
        <f t="shared" si="21"/>
        <v>幼儿园教师资格</v>
      </c>
    </row>
    <row r="110" customHeight="1" spans="1:9">
      <c r="A110" s="6">
        <v>108</v>
      </c>
      <c r="B110" s="7" t="s">
        <v>12</v>
      </c>
      <c r="C110" s="8" t="str">
        <f>"程海英"</f>
        <v>程海英</v>
      </c>
      <c r="D110" s="8" t="str">
        <f t="shared" si="35"/>
        <v>女</v>
      </c>
      <c r="E110" s="7" t="str">
        <f>"46000719940618004X"</f>
        <v>46000719940618004X</v>
      </c>
      <c r="F110" s="7" t="str">
        <f t="shared" si="38"/>
        <v>琼台师范学院</v>
      </c>
      <c r="G110" s="7" t="str">
        <f t="shared" si="39"/>
        <v>学前教育</v>
      </c>
      <c r="H110" s="7" t="str">
        <f t="shared" si="34"/>
        <v>专科</v>
      </c>
      <c r="I110" s="7" t="str">
        <f t="shared" si="21"/>
        <v>幼儿园教师资格</v>
      </c>
    </row>
    <row r="111" customHeight="1" spans="1:9">
      <c r="A111" s="6">
        <v>109</v>
      </c>
      <c r="B111" s="7" t="s">
        <v>10</v>
      </c>
      <c r="C111" s="8" t="str">
        <f>"覃艳虹"</f>
        <v>覃艳虹</v>
      </c>
      <c r="D111" s="8" t="str">
        <f t="shared" si="35"/>
        <v>女</v>
      </c>
      <c r="E111" s="7" t="str">
        <f>"460006199306021643"</f>
        <v>460006199306021643</v>
      </c>
      <c r="F111" s="7" t="str">
        <f>"广西师范学院师园学院"</f>
        <v>广西师范学院师园学院</v>
      </c>
      <c r="G111" s="7" t="str">
        <f t="shared" si="39"/>
        <v>学前教育</v>
      </c>
      <c r="H111" s="7" t="str">
        <f>"本科"</f>
        <v>本科</v>
      </c>
      <c r="I111" s="7" t="str">
        <f t="shared" si="21"/>
        <v>幼儿园教师资格</v>
      </c>
    </row>
    <row r="112" customHeight="1" spans="1:9">
      <c r="A112" s="6">
        <v>110</v>
      </c>
      <c r="B112" s="7" t="s">
        <v>12</v>
      </c>
      <c r="C112" s="8" t="str">
        <f>"郭菲"</f>
        <v>郭菲</v>
      </c>
      <c r="D112" s="8" t="str">
        <f t="shared" si="35"/>
        <v>女</v>
      </c>
      <c r="E112" s="7" t="str">
        <f>"460025199504110048"</f>
        <v>460025199504110048</v>
      </c>
      <c r="F112" s="7" t="str">
        <f>"山西省忻州师范学院"</f>
        <v>山西省忻州师范学院</v>
      </c>
      <c r="G112" s="7" t="str">
        <f t="shared" si="39"/>
        <v>学前教育</v>
      </c>
      <c r="H112" s="7" t="str">
        <f>"本科"</f>
        <v>本科</v>
      </c>
      <c r="I112" s="7" t="str">
        <f t="shared" si="21"/>
        <v>幼儿园教师资格</v>
      </c>
    </row>
    <row r="113" customHeight="1" spans="1:9">
      <c r="A113" s="6">
        <v>111</v>
      </c>
      <c r="B113" s="7" t="s">
        <v>10</v>
      </c>
      <c r="C113" s="8" t="str">
        <f>"王薇"</f>
        <v>王薇</v>
      </c>
      <c r="D113" s="8" t="str">
        <f t="shared" si="35"/>
        <v>女</v>
      </c>
      <c r="E113" s="7" t="str">
        <f>"460027199806240422"</f>
        <v>460027199806240422</v>
      </c>
      <c r="F113" s="7" t="str">
        <f t="shared" ref="F113:F116" si="40">"琼台师范学院"</f>
        <v>琼台师范学院</v>
      </c>
      <c r="G113" s="7" t="str">
        <f t="shared" si="39"/>
        <v>学前教育</v>
      </c>
      <c r="H113" s="7" t="str">
        <f t="shared" ref="H113:H116" si="41">"专科"</f>
        <v>专科</v>
      </c>
      <c r="I113" s="7" t="str">
        <f t="shared" si="21"/>
        <v>幼儿园教师资格</v>
      </c>
    </row>
    <row r="114" customHeight="1" spans="1:9">
      <c r="A114" s="6">
        <v>112</v>
      </c>
      <c r="B114" s="7" t="s">
        <v>10</v>
      </c>
      <c r="C114" s="8" t="str">
        <f>"陈娟"</f>
        <v>陈娟</v>
      </c>
      <c r="D114" s="8" t="str">
        <f t="shared" si="35"/>
        <v>女</v>
      </c>
      <c r="E114" s="7" t="str">
        <f>"460006199106078143"</f>
        <v>460006199106078143</v>
      </c>
      <c r="F114" s="7" t="str">
        <f>"琼台师范高等专科学校"</f>
        <v>琼台师范高等专科学校</v>
      </c>
      <c r="G114" s="7" t="str">
        <f>"学前教育专业"</f>
        <v>学前教育专业</v>
      </c>
      <c r="H114" s="7" t="str">
        <f t="shared" si="41"/>
        <v>专科</v>
      </c>
      <c r="I114" s="7" t="str">
        <f t="shared" si="21"/>
        <v>幼儿园教师资格</v>
      </c>
    </row>
    <row r="115" customHeight="1" spans="1:9">
      <c r="A115" s="6">
        <v>113</v>
      </c>
      <c r="B115" s="7" t="s">
        <v>12</v>
      </c>
      <c r="C115" s="8" t="str">
        <f>"许元妹"</f>
        <v>许元妹</v>
      </c>
      <c r="D115" s="8" t="str">
        <f t="shared" si="35"/>
        <v>女</v>
      </c>
      <c r="E115" s="7" t="str">
        <f>"460003199805083049"</f>
        <v>460003199805083049</v>
      </c>
      <c r="F115" s="7" t="str">
        <f t="shared" si="40"/>
        <v>琼台师范学院</v>
      </c>
      <c r="G115" s="7" t="str">
        <f t="shared" ref="G115:G127" si="42">"学前教育"</f>
        <v>学前教育</v>
      </c>
      <c r="H115" s="7" t="str">
        <f t="shared" si="41"/>
        <v>专科</v>
      </c>
      <c r="I115" s="7" t="str">
        <f t="shared" si="21"/>
        <v>幼儿园教师资格</v>
      </c>
    </row>
    <row r="116" customHeight="1" spans="1:9">
      <c r="A116" s="6">
        <v>114</v>
      </c>
      <c r="B116" s="7" t="s">
        <v>10</v>
      </c>
      <c r="C116" s="8" t="str">
        <f>"王青"</f>
        <v>王青</v>
      </c>
      <c r="D116" s="8" t="str">
        <f t="shared" si="35"/>
        <v>女</v>
      </c>
      <c r="E116" s="7" t="str">
        <f>"460027199605252929"</f>
        <v>460027199605252929</v>
      </c>
      <c r="F116" s="7" t="str">
        <f t="shared" si="40"/>
        <v>琼台师范学院</v>
      </c>
      <c r="G116" s="7" t="str">
        <f t="shared" si="42"/>
        <v>学前教育</v>
      </c>
      <c r="H116" s="7" t="str">
        <f t="shared" si="41"/>
        <v>专科</v>
      </c>
      <c r="I116" s="7" t="str">
        <f t="shared" si="21"/>
        <v>幼儿园教师资格</v>
      </c>
    </row>
    <row r="117" customHeight="1" spans="1:9">
      <c r="A117" s="6">
        <v>115</v>
      </c>
      <c r="B117" s="7" t="s">
        <v>10</v>
      </c>
      <c r="C117" s="8" t="str">
        <f>"王少糠"</f>
        <v>王少糠</v>
      </c>
      <c r="D117" s="8" t="str">
        <f t="shared" si="35"/>
        <v>女</v>
      </c>
      <c r="E117" s="7" t="str">
        <f>"460028199704132427"</f>
        <v>460028199704132427</v>
      </c>
      <c r="F117" s="7" t="str">
        <f>"平顶山学院"</f>
        <v>平顶山学院</v>
      </c>
      <c r="G117" s="7" t="str">
        <f t="shared" si="42"/>
        <v>学前教育</v>
      </c>
      <c r="H117" s="7" t="str">
        <f>"本科"</f>
        <v>本科</v>
      </c>
      <c r="I117" s="7" t="str">
        <f t="shared" si="21"/>
        <v>幼儿园教师资格</v>
      </c>
    </row>
    <row r="118" customHeight="1" spans="1:9">
      <c r="A118" s="6">
        <v>116</v>
      </c>
      <c r="B118" s="7" t="s">
        <v>11</v>
      </c>
      <c r="C118" s="8" t="str">
        <f>"梁玉"</f>
        <v>梁玉</v>
      </c>
      <c r="D118" s="8" t="str">
        <f t="shared" si="35"/>
        <v>女</v>
      </c>
      <c r="E118" s="7" t="str">
        <f>"460025199810221520"</f>
        <v>460025199810221520</v>
      </c>
      <c r="F118" s="7" t="str">
        <f t="shared" ref="F118:F120" si="43">"琼台师范学院"</f>
        <v>琼台师范学院</v>
      </c>
      <c r="G118" s="7" t="str">
        <f t="shared" si="42"/>
        <v>学前教育</v>
      </c>
      <c r="H118" s="7" t="str">
        <f>"专科(高职)"</f>
        <v>专科(高职)</v>
      </c>
      <c r="I118" s="7" t="str">
        <f t="shared" si="21"/>
        <v>幼儿园教师资格</v>
      </c>
    </row>
    <row r="119" customHeight="1" spans="1:9">
      <c r="A119" s="6">
        <v>117</v>
      </c>
      <c r="B119" s="7" t="s">
        <v>10</v>
      </c>
      <c r="C119" s="8" t="str">
        <f>"王兰"</f>
        <v>王兰</v>
      </c>
      <c r="D119" s="8" t="str">
        <f t="shared" si="35"/>
        <v>女</v>
      </c>
      <c r="E119" s="7" t="str">
        <f>"460027199810015703"</f>
        <v>460027199810015703</v>
      </c>
      <c r="F119" s="7" t="str">
        <f t="shared" si="43"/>
        <v>琼台师范学院</v>
      </c>
      <c r="G119" s="7" t="str">
        <f t="shared" si="42"/>
        <v>学前教育</v>
      </c>
      <c r="H119" s="7" t="str">
        <f t="shared" ref="H119:H128" si="44">"专科"</f>
        <v>专科</v>
      </c>
      <c r="I119" s="7" t="str">
        <f t="shared" si="21"/>
        <v>幼儿园教师资格</v>
      </c>
    </row>
    <row r="120" customHeight="1" spans="1:9">
      <c r="A120" s="6">
        <v>118</v>
      </c>
      <c r="B120" s="7" t="s">
        <v>11</v>
      </c>
      <c r="C120" s="8" t="str">
        <f>"李雅君"</f>
        <v>李雅君</v>
      </c>
      <c r="D120" s="8" t="str">
        <f t="shared" si="35"/>
        <v>女</v>
      </c>
      <c r="E120" s="7" t="str">
        <f>"460027199507213723"</f>
        <v>460027199507213723</v>
      </c>
      <c r="F120" s="7" t="str">
        <f t="shared" si="43"/>
        <v>琼台师范学院</v>
      </c>
      <c r="G120" s="7" t="str">
        <f t="shared" si="42"/>
        <v>学前教育</v>
      </c>
      <c r="H120" s="7" t="str">
        <f t="shared" si="44"/>
        <v>专科</v>
      </c>
      <c r="I120" s="7" t="str">
        <f t="shared" si="21"/>
        <v>幼儿园教师资格</v>
      </c>
    </row>
    <row r="121" customHeight="1" spans="1:9">
      <c r="A121" s="6">
        <v>119</v>
      </c>
      <c r="B121" s="7" t="s">
        <v>11</v>
      </c>
      <c r="C121" s="8" t="str">
        <f>"吴艳雯"</f>
        <v>吴艳雯</v>
      </c>
      <c r="D121" s="8" t="str">
        <f t="shared" si="35"/>
        <v>女</v>
      </c>
      <c r="E121" s="7" t="str">
        <f>"460004199607260020"</f>
        <v>460004199607260020</v>
      </c>
      <c r="F121" s="7" t="str">
        <f>"楚雄师范学院"</f>
        <v>楚雄师范学院</v>
      </c>
      <c r="G121" s="7" t="str">
        <f t="shared" si="42"/>
        <v>学前教育</v>
      </c>
      <c r="H121" s="7" t="str">
        <f>"本科"</f>
        <v>本科</v>
      </c>
      <c r="I121" s="7" t="str">
        <f t="shared" si="21"/>
        <v>幼儿园教师资格</v>
      </c>
    </row>
    <row r="122" customHeight="1" spans="1:9">
      <c r="A122" s="6">
        <v>120</v>
      </c>
      <c r="B122" s="7" t="s">
        <v>10</v>
      </c>
      <c r="C122" s="8" t="str">
        <f>"王小莉"</f>
        <v>王小莉</v>
      </c>
      <c r="D122" s="8" t="str">
        <f t="shared" si="35"/>
        <v>女</v>
      </c>
      <c r="E122" s="7" t="str">
        <f>"460004199805121427"</f>
        <v>460004199805121427</v>
      </c>
      <c r="F122" s="7" t="str">
        <f t="shared" ref="F122:F124" si="45">"琼台师范学院"</f>
        <v>琼台师范学院</v>
      </c>
      <c r="G122" s="7" t="str">
        <f t="shared" si="42"/>
        <v>学前教育</v>
      </c>
      <c r="H122" s="7" t="str">
        <f t="shared" si="44"/>
        <v>专科</v>
      </c>
      <c r="I122" s="7" t="str">
        <f t="shared" si="21"/>
        <v>幼儿园教师资格</v>
      </c>
    </row>
    <row r="123" customHeight="1" spans="1:9">
      <c r="A123" s="6">
        <v>121</v>
      </c>
      <c r="B123" s="7" t="s">
        <v>11</v>
      </c>
      <c r="C123" s="8" t="str">
        <f>"周良鸳"</f>
        <v>周良鸳</v>
      </c>
      <c r="D123" s="8" t="str">
        <f t="shared" si="35"/>
        <v>女</v>
      </c>
      <c r="E123" s="7" t="str">
        <f>"460033199611074484"</f>
        <v>460033199611074484</v>
      </c>
      <c r="F123" s="7" t="str">
        <f t="shared" si="45"/>
        <v>琼台师范学院</v>
      </c>
      <c r="G123" s="7" t="str">
        <f t="shared" si="42"/>
        <v>学前教育</v>
      </c>
      <c r="H123" s="7" t="str">
        <f t="shared" si="44"/>
        <v>专科</v>
      </c>
      <c r="I123" s="7" t="str">
        <f t="shared" si="21"/>
        <v>幼儿园教师资格</v>
      </c>
    </row>
    <row r="124" customHeight="1" spans="1:9">
      <c r="A124" s="6">
        <v>122</v>
      </c>
      <c r="B124" s="7" t="s">
        <v>12</v>
      </c>
      <c r="C124" s="8" t="str">
        <f>"潘奕亦"</f>
        <v>潘奕亦</v>
      </c>
      <c r="D124" s="8" t="str">
        <f t="shared" si="35"/>
        <v>女</v>
      </c>
      <c r="E124" s="7" t="str">
        <f>"460027199610287026"</f>
        <v>460027199610287026</v>
      </c>
      <c r="F124" s="7" t="str">
        <f t="shared" si="45"/>
        <v>琼台师范学院</v>
      </c>
      <c r="G124" s="7" t="str">
        <f t="shared" si="42"/>
        <v>学前教育</v>
      </c>
      <c r="H124" s="7" t="str">
        <f t="shared" si="44"/>
        <v>专科</v>
      </c>
      <c r="I124" s="7" t="str">
        <f t="shared" si="21"/>
        <v>幼儿园教师资格</v>
      </c>
    </row>
    <row r="125" customHeight="1" spans="1:9">
      <c r="A125" s="6">
        <v>123</v>
      </c>
      <c r="B125" s="7" t="s">
        <v>12</v>
      </c>
      <c r="C125" s="8" t="str">
        <f>"盛国冰"</f>
        <v>盛国冰</v>
      </c>
      <c r="D125" s="8" t="str">
        <f t="shared" si="35"/>
        <v>女</v>
      </c>
      <c r="E125" s="7" t="str">
        <f>"460033199705173889"</f>
        <v>460033199705173889</v>
      </c>
      <c r="F125" s="7" t="str">
        <f>"江西科技学院"</f>
        <v>江西科技学院</v>
      </c>
      <c r="G125" s="7" t="str">
        <f t="shared" si="42"/>
        <v>学前教育</v>
      </c>
      <c r="H125" s="7" t="str">
        <f t="shared" si="44"/>
        <v>专科</v>
      </c>
      <c r="I125" s="7" t="str">
        <f t="shared" si="21"/>
        <v>幼儿园教师资格</v>
      </c>
    </row>
    <row r="126" customHeight="1" spans="1:9">
      <c r="A126" s="6">
        <v>124</v>
      </c>
      <c r="B126" s="7" t="s">
        <v>12</v>
      </c>
      <c r="C126" s="8" t="str">
        <f>"符贤丽"</f>
        <v>符贤丽</v>
      </c>
      <c r="D126" s="8" t="str">
        <f t="shared" si="35"/>
        <v>女</v>
      </c>
      <c r="E126" s="7" t="str">
        <f>"460003199606204223"</f>
        <v>460003199606204223</v>
      </c>
      <c r="F126" s="7" t="str">
        <f>"海南热带海洋学院"</f>
        <v>海南热带海洋学院</v>
      </c>
      <c r="G126" s="7" t="str">
        <f t="shared" si="42"/>
        <v>学前教育</v>
      </c>
      <c r="H126" s="7" t="str">
        <f t="shared" si="44"/>
        <v>专科</v>
      </c>
      <c r="I126" s="7" t="str">
        <f t="shared" si="21"/>
        <v>幼儿园教师资格</v>
      </c>
    </row>
    <row r="127" customHeight="1" spans="1:9">
      <c r="A127" s="6">
        <v>125</v>
      </c>
      <c r="B127" s="7" t="s">
        <v>11</v>
      </c>
      <c r="C127" s="8" t="str">
        <f>"吴启桃"</f>
        <v>吴启桃</v>
      </c>
      <c r="D127" s="8" t="str">
        <f t="shared" si="35"/>
        <v>女</v>
      </c>
      <c r="E127" s="7" t="str">
        <f>"460003199003087689"</f>
        <v>460003199003087689</v>
      </c>
      <c r="F127" s="7" t="str">
        <f>"琼台师范高等专科学校"</f>
        <v>琼台师范高等专科学校</v>
      </c>
      <c r="G127" s="7" t="str">
        <f t="shared" si="42"/>
        <v>学前教育</v>
      </c>
      <c r="H127" s="7" t="str">
        <f t="shared" si="44"/>
        <v>专科</v>
      </c>
      <c r="I127" s="7" t="str">
        <f t="shared" si="21"/>
        <v>幼儿园教师资格</v>
      </c>
    </row>
    <row r="128" customHeight="1" spans="1:9">
      <c r="A128" s="6">
        <v>126</v>
      </c>
      <c r="B128" s="7" t="s">
        <v>10</v>
      </c>
      <c r="C128" s="8" t="str">
        <f>"周艳"</f>
        <v>周艳</v>
      </c>
      <c r="D128" s="8" t="str">
        <f t="shared" si="35"/>
        <v>女</v>
      </c>
      <c r="E128" s="7" t="str">
        <f>"460025199712060321"</f>
        <v>460025199712060321</v>
      </c>
      <c r="F128" s="7" t="str">
        <f t="shared" ref="F128:F134" si="46">"琼台师范学院"</f>
        <v>琼台师范学院</v>
      </c>
      <c r="G128" s="7" t="str">
        <f>"学前教育系"</f>
        <v>学前教育系</v>
      </c>
      <c r="H128" s="7" t="str">
        <f t="shared" si="44"/>
        <v>专科</v>
      </c>
      <c r="I128" s="7" t="str">
        <f t="shared" si="21"/>
        <v>幼儿园教师资格</v>
      </c>
    </row>
    <row r="129" customHeight="1" spans="1:9">
      <c r="A129" s="6">
        <v>127</v>
      </c>
      <c r="B129" s="7" t="s">
        <v>12</v>
      </c>
      <c r="C129" s="8" t="str">
        <f>"李少灵"</f>
        <v>李少灵</v>
      </c>
      <c r="D129" s="8" t="str">
        <f t="shared" si="35"/>
        <v>女</v>
      </c>
      <c r="E129" s="7" t="str">
        <f>"460028199507102421"</f>
        <v>460028199507102421</v>
      </c>
      <c r="F129" s="7" t="str">
        <f>"琼台师范"</f>
        <v>琼台师范</v>
      </c>
      <c r="G129" s="7" t="str">
        <f t="shared" ref="G129:G131" si="47">"学前教育"</f>
        <v>学前教育</v>
      </c>
      <c r="H129" s="12" t="s">
        <v>13</v>
      </c>
      <c r="I129" s="7" t="str">
        <f t="shared" si="21"/>
        <v>幼儿园教师资格</v>
      </c>
    </row>
    <row r="130" customHeight="1" spans="1:9">
      <c r="A130" s="6">
        <v>128</v>
      </c>
      <c r="B130" s="7" t="s">
        <v>10</v>
      </c>
      <c r="C130" s="8" t="str">
        <f>"陈春紫"</f>
        <v>陈春紫</v>
      </c>
      <c r="D130" s="8" t="str">
        <f t="shared" si="35"/>
        <v>女</v>
      </c>
      <c r="E130" s="7" t="str">
        <f>"460022199607130528"</f>
        <v>460022199607130528</v>
      </c>
      <c r="F130" s="7" t="str">
        <f t="shared" si="46"/>
        <v>琼台师范学院</v>
      </c>
      <c r="G130" s="7" t="str">
        <f t="shared" si="47"/>
        <v>学前教育</v>
      </c>
      <c r="H130" s="7" t="str">
        <f t="shared" ref="H130:H132" si="48">"专科"</f>
        <v>专科</v>
      </c>
      <c r="I130" s="7" t="str">
        <f t="shared" si="21"/>
        <v>幼儿园教师资格</v>
      </c>
    </row>
    <row r="131" customHeight="1" spans="1:9">
      <c r="A131" s="6">
        <v>129</v>
      </c>
      <c r="B131" s="7" t="s">
        <v>10</v>
      </c>
      <c r="C131" s="8" t="str">
        <f>"曾黄霞"</f>
        <v>曾黄霞</v>
      </c>
      <c r="D131" s="8" t="str">
        <f t="shared" si="35"/>
        <v>女</v>
      </c>
      <c r="E131" s="7" t="str">
        <f>"460028199704130827"</f>
        <v>460028199704130827</v>
      </c>
      <c r="F131" s="7" t="str">
        <f>"新余学院"</f>
        <v>新余学院</v>
      </c>
      <c r="G131" s="7" t="str">
        <f t="shared" si="47"/>
        <v>学前教育</v>
      </c>
      <c r="H131" s="7" t="str">
        <f t="shared" si="48"/>
        <v>专科</v>
      </c>
      <c r="I131" s="7" t="str">
        <f t="shared" ref="I131:I194" si="49">"幼儿园教师资格"</f>
        <v>幼儿园教师资格</v>
      </c>
    </row>
    <row r="132" customHeight="1" spans="1:9">
      <c r="A132" s="6">
        <v>130</v>
      </c>
      <c r="B132" s="7" t="s">
        <v>11</v>
      </c>
      <c r="C132" s="8" t="str">
        <f>"韩婷"</f>
        <v>韩婷</v>
      </c>
      <c r="D132" s="8" t="str">
        <f t="shared" si="35"/>
        <v>女</v>
      </c>
      <c r="E132" s="7" t="str">
        <f>"460005199707285627"</f>
        <v>460005199707285627</v>
      </c>
      <c r="F132" s="7" t="str">
        <f>"海南师范大学"</f>
        <v>海南师范大学</v>
      </c>
      <c r="G132" s="7" t="str">
        <f>"学前教育专业"</f>
        <v>学前教育专业</v>
      </c>
      <c r="H132" s="7" t="str">
        <f t="shared" si="48"/>
        <v>专科</v>
      </c>
      <c r="I132" s="7" t="str">
        <f t="shared" si="49"/>
        <v>幼儿园教师资格</v>
      </c>
    </row>
    <row r="133" customHeight="1" spans="1:9">
      <c r="A133" s="6">
        <v>131</v>
      </c>
      <c r="B133" s="7" t="s">
        <v>11</v>
      </c>
      <c r="C133" s="8" t="str">
        <f>"占海清"</f>
        <v>占海清</v>
      </c>
      <c r="D133" s="8" t="str">
        <f t="shared" si="35"/>
        <v>女</v>
      </c>
      <c r="E133" s="7" t="str">
        <f>"46000419980314342X"</f>
        <v>46000419980314342X</v>
      </c>
      <c r="F133" s="7" t="str">
        <f t="shared" si="46"/>
        <v>琼台师范学院</v>
      </c>
      <c r="G133" s="7" t="str">
        <f>"学前教"</f>
        <v>学前教</v>
      </c>
      <c r="H133" s="7" t="str">
        <f>"专科(高职)"</f>
        <v>专科(高职)</v>
      </c>
      <c r="I133" s="7" t="str">
        <f t="shared" si="49"/>
        <v>幼儿园教师资格</v>
      </c>
    </row>
    <row r="134" customHeight="1" spans="1:9">
      <c r="A134" s="6">
        <v>132</v>
      </c>
      <c r="B134" s="7" t="s">
        <v>10</v>
      </c>
      <c r="C134" s="8" t="str">
        <f>"劳雨妹"</f>
        <v>劳雨妹</v>
      </c>
      <c r="D134" s="8" t="str">
        <f t="shared" si="35"/>
        <v>女</v>
      </c>
      <c r="E134" s="7" t="str">
        <f>"460028199510028023"</f>
        <v>460028199510028023</v>
      </c>
      <c r="F134" s="7" t="str">
        <f t="shared" si="46"/>
        <v>琼台师范学院</v>
      </c>
      <c r="G134" s="7" t="str">
        <f>"学前教育（英语方向）"</f>
        <v>学前教育（英语方向）</v>
      </c>
      <c r="H134" s="7" t="str">
        <f t="shared" ref="H134:H140" si="50">"专科"</f>
        <v>专科</v>
      </c>
      <c r="I134" s="7" t="str">
        <f t="shared" si="49"/>
        <v>幼儿园教师资格</v>
      </c>
    </row>
    <row r="135" customHeight="1" spans="1:9">
      <c r="A135" s="6">
        <v>133</v>
      </c>
      <c r="B135" s="7" t="s">
        <v>11</v>
      </c>
      <c r="C135" s="8" t="str">
        <f>"蒲慧芳"</f>
        <v>蒲慧芳</v>
      </c>
      <c r="D135" s="8" t="str">
        <f t="shared" si="35"/>
        <v>女</v>
      </c>
      <c r="E135" s="7" t="str">
        <f>"460300199601040028"</f>
        <v>460300199601040028</v>
      </c>
      <c r="F135" s="7" t="str">
        <f>"闽北职业技术学院"</f>
        <v>闽北职业技术学院</v>
      </c>
      <c r="G135" s="7" t="str">
        <f>"学前教育专业"</f>
        <v>学前教育专业</v>
      </c>
      <c r="H135" s="7" t="str">
        <f t="shared" si="50"/>
        <v>专科</v>
      </c>
      <c r="I135" s="7" t="str">
        <f t="shared" si="49"/>
        <v>幼儿园教师资格</v>
      </c>
    </row>
    <row r="136" customHeight="1" spans="1:9">
      <c r="A136" s="6">
        <v>134</v>
      </c>
      <c r="B136" s="7" t="s">
        <v>12</v>
      </c>
      <c r="C136" s="8" t="str">
        <f>"薛小花"</f>
        <v>薛小花</v>
      </c>
      <c r="D136" s="8" t="str">
        <f t="shared" si="35"/>
        <v>女</v>
      </c>
      <c r="E136" s="7" t="str">
        <f>"460006199501272368"</f>
        <v>460006199501272368</v>
      </c>
      <c r="F136" s="7" t="str">
        <f>"琼台师范学院"</f>
        <v>琼台师范学院</v>
      </c>
      <c r="G136" s="7" t="str">
        <f t="shared" ref="G136:G139" si="51">"学前教育"</f>
        <v>学前教育</v>
      </c>
      <c r="H136" s="7" t="str">
        <f t="shared" si="50"/>
        <v>专科</v>
      </c>
      <c r="I136" s="7" t="str">
        <f t="shared" si="49"/>
        <v>幼儿园教师资格</v>
      </c>
    </row>
    <row r="137" customHeight="1" spans="1:9">
      <c r="A137" s="6">
        <v>135</v>
      </c>
      <c r="B137" s="7" t="s">
        <v>10</v>
      </c>
      <c r="C137" s="8" t="str">
        <f>"王蕾"</f>
        <v>王蕾</v>
      </c>
      <c r="D137" s="8" t="str">
        <f t="shared" si="35"/>
        <v>女</v>
      </c>
      <c r="E137" s="7" t="str">
        <f>"460026199705190028"</f>
        <v>460026199705190028</v>
      </c>
      <c r="F137" s="7" t="str">
        <f>"琼台师范学院"</f>
        <v>琼台师范学院</v>
      </c>
      <c r="G137" s="7" t="str">
        <f t="shared" si="51"/>
        <v>学前教育</v>
      </c>
      <c r="H137" s="7" t="str">
        <f t="shared" si="50"/>
        <v>专科</v>
      </c>
      <c r="I137" s="7" t="str">
        <f t="shared" si="49"/>
        <v>幼儿园教师资格</v>
      </c>
    </row>
    <row r="138" customHeight="1" spans="1:9">
      <c r="A138" s="6">
        <v>136</v>
      </c>
      <c r="B138" s="7" t="s">
        <v>10</v>
      </c>
      <c r="C138" s="8" t="str">
        <f>"高嘉忆"</f>
        <v>高嘉忆</v>
      </c>
      <c r="D138" s="8" t="str">
        <f t="shared" si="35"/>
        <v>女</v>
      </c>
      <c r="E138" s="7" t="str">
        <f>"230123199710130445"</f>
        <v>230123199710130445</v>
      </c>
      <c r="F138" s="7" t="str">
        <f>"哈尔滨幼儿师范高等专科学校"</f>
        <v>哈尔滨幼儿师范高等专科学校</v>
      </c>
      <c r="G138" s="7" t="str">
        <f t="shared" si="51"/>
        <v>学前教育</v>
      </c>
      <c r="H138" s="7" t="str">
        <f t="shared" si="50"/>
        <v>专科</v>
      </c>
      <c r="I138" s="7" t="str">
        <f t="shared" si="49"/>
        <v>幼儿园教师资格</v>
      </c>
    </row>
    <row r="139" customHeight="1" spans="1:9">
      <c r="A139" s="6">
        <v>137</v>
      </c>
      <c r="B139" s="7" t="s">
        <v>12</v>
      </c>
      <c r="C139" s="8" t="str">
        <f>"林秀妹"</f>
        <v>林秀妹</v>
      </c>
      <c r="D139" s="8" t="str">
        <f t="shared" si="35"/>
        <v>女</v>
      </c>
      <c r="E139" s="7" t="str">
        <f>"469003199504125020"</f>
        <v>469003199504125020</v>
      </c>
      <c r="F139" s="7" t="str">
        <f>"海南热带海洋学院"</f>
        <v>海南热带海洋学院</v>
      </c>
      <c r="G139" s="7" t="str">
        <f t="shared" si="51"/>
        <v>学前教育</v>
      </c>
      <c r="H139" s="7" t="str">
        <f t="shared" si="50"/>
        <v>专科</v>
      </c>
      <c r="I139" s="7" t="str">
        <f t="shared" si="49"/>
        <v>幼儿园教师资格</v>
      </c>
    </row>
    <row r="140" customHeight="1" spans="1:9">
      <c r="A140" s="6">
        <v>138</v>
      </c>
      <c r="B140" s="7" t="s">
        <v>10</v>
      </c>
      <c r="C140" s="8" t="str">
        <f>"黎杜游"</f>
        <v>黎杜游</v>
      </c>
      <c r="D140" s="8" t="str">
        <f t="shared" si="35"/>
        <v>女</v>
      </c>
      <c r="E140" s="7" t="str">
        <f>"460033199304054563"</f>
        <v>460033199304054563</v>
      </c>
      <c r="F140" s="7" t="str">
        <f>"琼州学院"</f>
        <v>琼州学院</v>
      </c>
      <c r="G140" s="7" t="str">
        <f>"学前教育专业"</f>
        <v>学前教育专业</v>
      </c>
      <c r="H140" s="7" t="str">
        <f t="shared" si="50"/>
        <v>专科</v>
      </c>
      <c r="I140" s="7" t="str">
        <f t="shared" si="49"/>
        <v>幼儿园教师资格</v>
      </c>
    </row>
    <row r="141" customHeight="1" spans="1:9">
      <c r="A141" s="6">
        <v>139</v>
      </c>
      <c r="B141" s="7" t="s">
        <v>10</v>
      </c>
      <c r="C141" s="8" t="str">
        <f>"麦星"</f>
        <v>麦星</v>
      </c>
      <c r="D141" s="8" t="str">
        <f t="shared" si="35"/>
        <v>女</v>
      </c>
      <c r="E141" s="7" t="str">
        <f>"460007199206189269"</f>
        <v>460007199206189269</v>
      </c>
      <c r="F141" s="7" t="str">
        <f>"海南热带海洋学院"</f>
        <v>海南热带海洋学院</v>
      </c>
      <c r="G141" s="7" t="str">
        <f t="shared" ref="G141:G151" si="52">"学前教育"</f>
        <v>学前教育</v>
      </c>
      <c r="H141" s="7" t="str">
        <f>"专科(高职)"</f>
        <v>专科(高职)</v>
      </c>
      <c r="I141" s="7" t="str">
        <f t="shared" si="49"/>
        <v>幼儿园教师资格</v>
      </c>
    </row>
    <row r="142" customHeight="1" spans="1:9">
      <c r="A142" s="6">
        <v>140</v>
      </c>
      <c r="B142" s="7" t="s">
        <v>10</v>
      </c>
      <c r="C142" s="8" t="str">
        <f>"林雪霞"</f>
        <v>林雪霞</v>
      </c>
      <c r="D142" s="8" t="str">
        <f t="shared" si="35"/>
        <v>女</v>
      </c>
      <c r="E142" s="7" t="str">
        <f>"460003199406264627"</f>
        <v>460003199406264627</v>
      </c>
      <c r="F142" s="7" t="str">
        <f>"海南师范大学"</f>
        <v>海南师范大学</v>
      </c>
      <c r="G142" s="7" t="str">
        <f t="shared" si="52"/>
        <v>学前教育</v>
      </c>
      <c r="H142" s="7" t="str">
        <f>"本科"</f>
        <v>本科</v>
      </c>
      <c r="I142" s="7" t="str">
        <f t="shared" si="49"/>
        <v>幼儿园教师资格</v>
      </c>
    </row>
    <row r="143" customHeight="1" spans="1:9">
      <c r="A143" s="6">
        <v>141</v>
      </c>
      <c r="B143" s="7" t="s">
        <v>10</v>
      </c>
      <c r="C143" s="8" t="str">
        <f>"何倩"</f>
        <v>何倩</v>
      </c>
      <c r="D143" s="8" t="str">
        <f t="shared" si="35"/>
        <v>女</v>
      </c>
      <c r="E143" s="7" t="str">
        <f>"460027199711143742"</f>
        <v>460027199711143742</v>
      </c>
      <c r="F143" s="7" t="str">
        <f t="shared" ref="F143:F148" si="53">"琼台师范学院"</f>
        <v>琼台师范学院</v>
      </c>
      <c r="G143" s="7" t="str">
        <f t="shared" si="52"/>
        <v>学前教育</v>
      </c>
      <c r="H143" s="7" t="str">
        <f t="shared" ref="H143:H145" si="54">"专科"</f>
        <v>专科</v>
      </c>
      <c r="I143" s="7" t="str">
        <f t="shared" si="49"/>
        <v>幼儿园教师资格</v>
      </c>
    </row>
    <row r="144" customHeight="1" spans="1:9">
      <c r="A144" s="6">
        <v>142</v>
      </c>
      <c r="B144" s="7" t="s">
        <v>10</v>
      </c>
      <c r="C144" s="8" t="str">
        <f>"邱靖"</f>
        <v>邱靖</v>
      </c>
      <c r="D144" s="8" t="str">
        <f t="shared" si="35"/>
        <v>女</v>
      </c>
      <c r="E144" s="7" t="str">
        <f>"460006199712072729"</f>
        <v>460006199712072729</v>
      </c>
      <c r="F144" s="7" t="str">
        <f>"江西科技学院"</f>
        <v>江西科技学院</v>
      </c>
      <c r="G144" s="7" t="str">
        <f t="shared" si="52"/>
        <v>学前教育</v>
      </c>
      <c r="H144" s="7" t="str">
        <f t="shared" si="54"/>
        <v>专科</v>
      </c>
      <c r="I144" s="7" t="str">
        <f t="shared" si="49"/>
        <v>幼儿园教师资格</v>
      </c>
    </row>
    <row r="145" customHeight="1" spans="1:9">
      <c r="A145" s="6">
        <v>143</v>
      </c>
      <c r="B145" s="7" t="s">
        <v>12</v>
      </c>
      <c r="C145" s="8" t="str">
        <f>"符贵宽"</f>
        <v>符贵宽</v>
      </c>
      <c r="D145" s="8" t="str">
        <f t="shared" si="35"/>
        <v>女</v>
      </c>
      <c r="E145" s="7" t="str">
        <f>"460003199202104824"</f>
        <v>460003199202104824</v>
      </c>
      <c r="F145" s="7" t="str">
        <f>"荆楚理工学院"</f>
        <v>荆楚理工学院</v>
      </c>
      <c r="G145" s="7" t="str">
        <f t="shared" si="52"/>
        <v>学前教育</v>
      </c>
      <c r="H145" s="7" t="str">
        <f t="shared" si="54"/>
        <v>专科</v>
      </c>
      <c r="I145" s="7" t="str">
        <f t="shared" si="49"/>
        <v>幼儿园教师资格</v>
      </c>
    </row>
    <row r="146" customHeight="1" spans="1:9">
      <c r="A146" s="6">
        <v>144</v>
      </c>
      <c r="B146" s="7" t="s">
        <v>11</v>
      </c>
      <c r="C146" s="8" t="str">
        <f>"何春玲"</f>
        <v>何春玲</v>
      </c>
      <c r="D146" s="8" t="str">
        <f t="shared" si="35"/>
        <v>女</v>
      </c>
      <c r="E146" s="7" t="str">
        <f>"460028199411280020"</f>
        <v>460028199411280020</v>
      </c>
      <c r="F146" s="7" t="str">
        <f t="shared" si="53"/>
        <v>琼台师范学院</v>
      </c>
      <c r="G146" s="7" t="str">
        <f t="shared" si="52"/>
        <v>学前教育</v>
      </c>
      <c r="H146" s="7" t="str">
        <f>"本科"</f>
        <v>本科</v>
      </c>
      <c r="I146" s="7" t="str">
        <f t="shared" si="49"/>
        <v>幼儿园教师资格</v>
      </c>
    </row>
    <row r="147" customHeight="1" spans="1:9">
      <c r="A147" s="6">
        <v>145</v>
      </c>
      <c r="B147" s="7" t="s">
        <v>10</v>
      </c>
      <c r="C147" s="8" t="str">
        <f>"刘莹莹"</f>
        <v>刘莹莹</v>
      </c>
      <c r="D147" s="8" t="str">
        <f t="shared" si="35"/>
        <v>女</v>
      </c>
      <c r="E147" s="7" t="str">
        <f>"460026199703154226"</f>
        <v>460026199703154226</v>
      </c>
      <c r="F147" s="7" t="str">
        <f>"江西科技学院"</f>
        <v>江西科技学院</v>
      </c>
      <c r="G147" s="7" t="str">
        <f t="shared" si="52"/>
        <v>学前教育</v>
      </c>
      <c r="H147" s="7" t="str">
        <f t="shared" ref="H147:H149" si="55">"专科"</f>
        <v>专科</v>
      </c>
      <c r="I147" s="7" t="str">
        <f t="shared" si="49"/>
        <v>幼儿园教师资格</v>
      </c>
    </row>
    <row r="148" customHeight="1" spans="1:9">
      <c r="A148" s="6">
        <v>146</v>
      </c>
      <c r="B148" s="7" t="s">
        <v>11</v>
      </c>
      <c r="C148" s="8" t="str">
        <f>"林娇妹"</f>
        <v>林娇妹</v>
      </c>
      <c r="D148" s="8" t="str">
        <f t="shared" si="35"/>
        <v>女</v>
      </c>
      <c r="E148" s="7" t="str">
        <f>"460006199406054629"</f>
        <v>460006199406054629</v>
      </c>
      <c r="F148" s="7" t="str">
        <f t="shared" si="53"/>
        <v>琼台师范学院</v>
      </c>
      <c r="G148" s="7" t="str">
        <f t="shared" si="52"/>
        <v>学前教育</v>
      </c>
      <c r="H148" s="7" t="str">
        <f t="shared" si="55"/>
        <v>专科</v>
      </c>
      <c r="I148" s="7" t="str">
        <f t="shared" si="49"/>
        <v>幼儿园教师资格</v>
      </c>
    </row>
    <row r="149" customHeight="1" spans="1:9">
      <c r="A149" s="6">
        <v>147</v>
      </c>
      <c r="B149" s="7" t="s">
        <v>10</v>
      </c>
      <c r="C149" s="8" t="str">
        <f>"陈杰芳"</f>
        <v>陈杰芳</v>
      </c>
      <c r="D149" s="8" t="str">
        <f t="shared" si="35"/>
        <v>女</v>
      </c>
      <c r="E149" s="7" t="str">
        <f>"460003199211054427"</f>
        <v>460003199211054427</v>
      </c>
      <c r="F149" s="7" t="str">
        <f>"荆楚理工学院"</f>
        <v>荆楚理工学院</v>
      </c>
      <c r="G149" s="7" t="str">
        <f t="shared" si="52"/>
        <v>学前教育</v>
      </c>
      <c r="H149" s="7" t="str">
        <f t="shared" si="55"/>
        <v>专科</v>
      </c>
      <c r="I149" s="7" t="str">
        <f t="shared" si="49"/>
        <v>幼儿园教师资格</v>
      </c>
    </row>
    <row r="150" customHeight="1" spans="1:9">
      <c r="A150" s="6">
        <v>148</v>
      </c>
      <c r="B150" s="7" t="s">
        <v>12</v>
      </c>
      <c r="C150" s="8" t="str">
        <f>"董晓莉"</f>
        <v>董晓莉</v>
      </c>
      <c r="D150" s="8" t="str">
        <f t="shared" si="35"/>
        <v>女</v>
      </c>
      <c r="E150" s="7" t="str">
        <f>"450421198912103541"</f>
        <v>450421198912103541</v>
      </c>
      <c r="F150" s="7" t="str">
        <f>"西南大学"</f>
        <v>西南大学</v>
      </c>
      <c r="G150" s="7" t="str">
        <f t="shared" si="52"/>
        <v>学前教育</v>
      </c>
      <c r="H150" s="7" t="str">
        <f>"本科"</f>
        <v>本科</v>
      </c>
      <c r="I150" s="7" t="str">
        <f t="shared" si="49"/>
        <v>幼儿园教师资格</v>
      </c>
    </row>
    <row r="151" customHeight="1" spans="1:9">
      <c r="A151" s="6">
        <v>149</v>
      </c>
      <c r="B151" s="7" t="s">
        <v>10</v>
      </c>
      <c r="C151" s="8" t="str">
        <f>"杨惠媚"</f>
        <v>杨惠媚</v>
      </c>
      <c r="D151" s="8" t="str">
        <f t="shared" si="35"/>
        <v>女</v>
      </c>
      <c r="E151" s="7" t="str">
        <f>"460002199602053425"</f>
        <v>460002199602053425</v>
      </c>
      <c r="F151" s="7" t="str">
        <f t="shared" ref="F151:F155" si="56">"琼台师范学院"</f>
        <v>琼台师范学院</v>
      </c>
      <c r="G151" s="7" t="str">
        <f t="shared" si="52"/>
        <v>学前教育</v>
      </c>
      <c r="H151" s="7" t="str">
        <f t="shared" ref="H151:H156" si="57">"专科"</f>
        <v>专科</v>
      </c>
      <c r="I151" s="7" t="str">
        <f t="shared" si="49"/>
        <v>幼儿园教师资格</v>
      </c>
    </row>
    <row r="152" customHeight="1" spans="1:9">
      <c r="A152" s="6">
        <v>150</v>
      </c>
      <c r="B152" s="7" t="s">
        <v>11</v>
      </c>
      <c r="C152" s="8" t="str">
        <f>"郑惠艳"</f>
        <v>郑惠艳</v>
      </c>
      <c r="D152" s="8" t="str">
        <f t="shared" si="35"/>
        <v>女</v>
      </c>
      <c r="E152" s="7" t="str">
        <f>"46000319940102224X"</f>
        <v>46000319940102224X</v>
      </c>
      <c r="F152" s="7" t="str">
        <f t="shared" si="56"/>
        <v>琼台师范学院</v>
      </c>
      <c r="G152" s="7" t="str">
        <f>"学前教育（英语教育方向）"</f>
        <v>学前教育（英语教育方向）</v>
      </c>
      <c r="H152" s="7" t="str">
        <f t="shared" si="57"/>
        <v>专科</v>
      </c>
      <c r="I152" s="7" t="str">
        <f t="shared" si="49"/>
        <v>幼儿园教师资格</v>
      </c>
    </row>
    <row r="153" customHeight="1" spans="1:9">
      <c r="A153" s="6">
        <v>151</v>
      </c>
      <c r="B153" s="7" t="s">
        <v>12</v>
      </c>
      <c r="C153" s="8" t="str">
        <f>"符志梅"</f>
        <v>符志梅</v>
      </c>
      <c r="D153" s="8" t="str">
        <f t="shared" si="35"/>
        <v>女</v>
      </c>
      <c r="E153" s="7" t="str">
        <f>"460028199505083300"</f>
        <v>460028199505083300</v>
      </c>
      <c r="F153" s="7" t="str">
        <f>"湖北大学"</f>
        <v>湖北大学</v>
      </c>
      <c r="G153" s="7" t="str">
        <f t="shared" ref="G153:G155" si="58">"学前教育"</f>
        <v>学前教育</v>
      </c>
      <c r="H153" s="7" t="str">
        <f t="shared" si="57"/>
        <v>专科</v>
      </c>
      <c r="I153" s="7" t="str">
        <f t="shared" si="49"/>
        <v>幼儿园教师资格</v>
      </c>
    </row>
    <row r="154" customHeight="1" spans="1:9">
      <c r="A154" s="6">
        <v>152</v>
      </c>
      <c r="B154" s="7" t="s">
        <v>11</v>
      </c>
      <c r="C154" s="8" t="str">
        <f>"陈恩妮"</f>
        <v>陈恩妮</v>
      </c>
      <c r="D154" s="8" t="str">
        <f t="shared" si="35"/>
        <v>女</v>
      </c>
      <c r="E154" s="7" t="str">
        <f>"460001199506270722"</f>
        <v>460001199506270722</v>
      </c>
      <c r="F154" s="7" t="str">
        <f>"九江职业大学"</f>
        <v>九江职业大学</v>
      </c>
      <c r="G154" s="7" t="str">
        <f t="shared" si="58"/>
        <v>学前教育</v>
      </c>
      <c r="H154" s="7" t="str">
        <f t="shared" si="57"/>
        <v>专科</v>
      </c>
      <c r="I154" s="7" t="str">
        <f t="shared" si="49"/>
        <v>幼儿园教师资格</v>
      </c>
    </row>
    <row r="155" customHeight="1" spans="1:9">
      <c r="A155" s="6">
        <v>153</v>
      </c>
      <c r="B155" s="7" t="s">
        <v>10</v>
      </c>
      <c r="C155" s="8" t="str">
        <f>"宋佳佳"</f>
        <v>宋佳佳</v>
      </c>
      <c r="D155" s="8" t="str">
        <f t="shared" si="35"/>
        <v>女</v>
      </c>
      <c r="E155" s="7" t="str">
        <f>"469023199911166642"</f>
        <v>469023199911166642</v>
      </c>
      <c r="F155" s="7" t="str">
        <f t="shared" si="56"/>
        <v>琼台师范学院</v>
      </c>
      <c r="G155" s="7" t="str">
        <f t="shared" si="58"/>
        <v>学前教育</v>
      </c>
      <c r="H155" s="7" t="str">
        <f t="shared" si="57"/>
        <v>专科</v>
      </c>
      <c r="I155" s="7" t="str">
        <f t="shared" si="49"/>
        <v>幼儿园教师资格</v>
      </c>
    </row>
    <row r="156" customHeight="1" spans="1:9">
      <c r="A156" s="6">
        <v>154</v>
      </c>
      <c r="B156" s="7" t="s">
        <v>11</v>
      </c>
      <c r="C156" s="8" t="str">
        <f>"何曼波"</f>
        <v>何曼波</v>
      </c>
      <c r="D156" s="8" t="str">
        <f t="shared" si="35"/>
        <v>女</v>
      </c>
      <c r="E156" s="7" t="str">
        <f>"46000319921114270X"</f>
        <v>46000319921114270X</v>
      </c>
      <c r="F156" s="7" t="str">
        <f>"宜春职业技术学院"</f>
        <v>宜春职业技术学院</v>
      </c>
      <c r="G156" s="7" t="str">
        <f>"学期教育"</f>
        <v>学期教育</v>
      </c>
      <c r="H156" s="7" t="str">
        <f t="shared" si="57"/>
        <v>专科</v>
      </c>
      <c r="I156" s="7" t="str">
        <f t="shared" si="49"/>
        <v>幼儿园教师资格</v>
      </c>
    </row>
    <row r="157" customHeight="1" spans="1:9">
      <c r="A157" s="6">
        <v>155</v>
      </c>
      <c r="B157" s="7" t="s">
        <v>11</v>
      </c>
      <c r="C157" s="8" t="str">
        <f>"李海萍"</f>
        <v>李海萍</v>
      </c>
      <c r="D157" s="8" t="str">
        <f t="shared" si="35"/>
        <v>女</v>
      </c>
      <c r="E157" s="7" t="str">
        <f>"460104199508190042"</f>
        <v>460104199508190042</v>
      </c>
      <c r="F157" s="7" t="str">
        <f>"江西科技学院"</f>
        <v>江西科技学院</v>
      </c>
      <c r="G157" s="7" t="str">
        <f t="shared" ref="G157:G160" si="59">"学前教育"</f>
        <v>学前教育</v>
      </c>
      <c r="H157" s="7" t="str">
        <f>"本科"</f>
        <v>本科</v>
      </c>
      <c r="I157" s="7" t="str">
        <f t="shared" si="49"/>
        <v>幼儿园教师资格</v>
      </c>
    </row>
    <row r="158" customHeight="1" spans="1:9">
      <c r="A158" s="6">
        <v>156</v>
      </c>
      <c r="B158" s="7" t="s">
        <v>10</v>
      </c>
      <c r="C158" s="8" t="str">
        <f>"李良梦"</f>
        <v>李良梦</v>
      </c>
      <c r="D158" s="8" t="str">
        <f t="shared" si="35"/>
        <v>女</v>
      </c>
      <c r="E158" s="7" t="str">
        <f>"460031199710140026"</f>
        <v>460031199710140026</v>
      </c>
      <c r="F158" s="7" t="str">
        <f t="shared" ref="F158:F161" si="60">"琼台师范学院"</f>
        <v>琼台师范学院</v>
      </c>
      <c r="G158" s="7" t="str">
        <f>"学前教育专业"</f>
        <v>学前教育专业</v>
      </c>
      <c r="H158" s="7" t="str">
        <f t="shared" ref="H158:H164" si="61">"专科"</f>
        <v>专科</v>
      </c>
      <c r="I158" s="7" t="str">
        <f t="shared" si="49"/>
        <v>幼儿园教师资格</v>
      </c>
    </row>
    <row r="159" customHeight="1" spans="1:9">
      <c r="A159" s="6">
        <v>157</v>
      </c>
      <c r="B159" s="7" t="s">
        <v>11</v>
      </c>
      <c r="C159" s="8" t="str">
        <f>"王璨璨"</f>
        <v>王璨璨</v>
      </c>
      <c r="D159" s="8" t="str">
        <f t="shared" si="35"/>
        <v>女</v>
      </c>
      <c r="E159" s="7" t="str">
        <f>"460027199404056665"</f>
        <v>460027199404056665</v>
      </c>
      <c r="F159" s="7" t="str">
        <f t="shared" si="60"/>
        <v>琼台师范学院</v>
      </c>
      <c r="G159" s="7" t="str">
        <f t="shared" si="59"/>
        <v>学前教育</v>
      </c>
      <c r="H159" s="7" t="str">
        <f t="shared" si="61"/>
        <v>专科</v>
      </c>
      <c r="I159" s="7" t="str">
        <f t="shared" si="49"/>
        <v>幼儿园教师资格</v>
      </c>
    </row>
    <row r="160" customHeight="1" spans="1:9">
      <c r="A160" s="6">
        <v>158</v>
      </c>
      <c r="B160" s="7" t="s">
        <v>11</v>
      </c>
      <c r="C160" s="8" t="str">
        <f>"方惠雪"</f>
        <v>方惠雪</v>
      </c>
      <c r="D160" s="8" t="str">
        <f t="shared" si="35"/>
        <v>女</v>
      </c>
      <c r="E160" s="7" t="str">
        <f>"460028199410227228"</f>
        <v>460028199410227228</v>
      </c>
      <c r="F160" s="7" t="str">
        <f>"江西科技学院"</f>
        <v>江西科技学院</v>
      </c>
      <c r="G160" s="7" t="str">
        <f t="shared" si="59"/>
        <v>学前教育</v>
      </c>
      <c r="H160" s="7" t="str">
        <f>"本科"</f>
        <v>本科</v>
      </c>
      <c r="I160" s="7" t="str">
        <f t="shared" si="49"/>
        <v>幼儿园教师资格</v>
      </c>
    </row>
    <row r="161" customHeight="1" spans="1:9">
      <c r="A161" s="6">
        <v>159</v>
      </c>
      <c r="B161" s="7" t="s">
        <v>10</v>
      </c>
      <c r="C161" s="8" t="str">
        <f>"杨英媛"</f>
        <v>杨英媛</v>
      </c>
      <c r="D161" s="8" t="str">
        <f t="shared" ref="D161:D224" si="62">"女"</f>
        <v>女</v>
      </c>
      <c r="E161" s="7" t="str">
        <f>"460004199707235228"</f>
        <v>460004199707235228</v>
      </c>
      <c r="F161" s="7" t="str">
        <f t="shared" si="60"/>
        <v>琼台师范学院</v>
      </c>
      <c r="G161" s="7" t="str">
        <f>"学前教育专业"</f>
        <v>学前教育专业</v>
      </c>
      <c r="H161" s="12" t="s">
        <v>13</v>
      </c>
      <c r="I161" s="7" t="str">
        <f t="shared" si="49"/>
        <v>幼儿园教师资格</v>
      </c>
    </row>
    <row r="162" customHeight="1" spans="1:9">
      <c r="A162" s="6">
        <v>160</v>
      </c>
      <c r="B162" s="7" t="s">
        <v>10</v>
      </c>
      <c r="C162" s="8" t="str">
        <f>"黄壮英"</f>
        <v>黄壮英</v>
      </c>
      <c r="D162" s="8" t="str">
        <f t="shared" si="62"/>
        <v>女</v>
      </c>
      <c r="E162" s="7" t="str">
        <f>"460003199612073442"</f>
        <v>460003199612073442</v>
      </c>
      <c r="F162" s="7" t="str">
        <f>"汉江师范学院"</f>
        <v>汉江师范学院</v>
      </c>
      <c r="G162" s="7" t="str">
        <f t="shared" ref="G162:G166" si="63">"学前教育"</f>
        <v>学前教育</v>
      </c>
      <c r="H162" s="7" t="str">
        <f t="shared" si="61"/>
        <v>专科</v>
      </c>
      <c r="I162" s="7" t="str">
        <f t="shared" si="49"/>
        <v>幼儿园教师资格</v>
      </c>
    </row>
    <row r="163" customHeight="1" spans="1:9">
      <c r="A163" s="6">
        <v>161</v>
      </c>
      <c r="B163" s="7" t="s">
        <v>11</v>
      </c>
      <c r="C163" s="8" t="str">
        <f>"林村蓉"</f>
        <v>林村蓉</v>
      </c>
      <c r="D163" s="8" t="str">
        <f t="shared" si="62"/>
        <v>女</v>
      </c>
      <c r="E163" s="7" t="str">
        <f>"460028199801230424"</f>
        <v>460028199801230424</v>
      </c>
      <c r="F163" s="7" t="str">
        <f>"海南师范大学"</f>
        <v>海南师范大学</v>
      </c>
      <c r="G163" s="7" t="str">
        <f t="shared" si="63"/>
        <v>学前教育</v>
      </c>
      <c r="H163" s="7" t="str">
        <f t="shared" si="61"/>
        <v>专科</v>
      </c>
      <c r="I163" s="7" t="str">
        <f t="shared" si="49"/>
        <v>幼儿园教师资格</v>
      </c>
    </row>
    <row r="164" customHeight="1" spans="1:9">
      <c r="A164" s="6">
        <v>162</v>
      </c>
      <c r="B164" s="7" t="s">
        <v>12</v>
      </c>
      <c r="C164" s="8" t="str">
        <f>"吴春燕"</f>
        <v>吴春燕</v>
      </c>
      <c r="D164" s="8" t="str">
        <f t="shared" si="62"/>
        <v>女</v>
      </c>
      <c r="E164" s="7" t="str">
        <f>"460004199312121226"</f>
        <v>460004199312121226</v>
      </c>
      <c r="F164" s="7" t="str">
        <f>"琼台师范高等专科学校"</f>
        <v>琼台师范高等专科学校</v>
      </c>
      <c r="G164" s="7" t="str">
        <f>"学前教育（英语方向）"</f>
        <v>学前教育（英语方向）</v>
      </c>
      <c r="H164" s="7" t="str">
        <f t="shared" si="61"/>
        <v>专科</v>
      </c>
      <c r="I164" s="7" t="str">
        <f t="shared" si="49"/>
        <v>幼儿园教师资格</v>
      </c>
    </row>
    <row r="165" customHeight="1" spans="1:9">
      <c r="A165" s="6">
        <v>163</v>
      </c>
      <c r="B165" s="7" t="s">
        <v>10</v>
      </c>
      <c r="C165" s="8" t="str">
        <f>"林成娟"</f>
        <v>林成娟</v>
      </c>
      <c r="D165" s="8" t="str">
        <f t="shared" si="62"/>
        <v>女</v>
      </c>
      <c r="E165" s="7" t="str">
        <f>"460003199602022422"</f>
        <v>460003199602022422</v>
      </c>
      <c r="F165" s="7" t="str">
        <f t="shared" ref="F165:F169" si="64">"琼台师范学院"</f>
        <v>琼台师范学院</v>
      </c>
      <c r="G165" s="7" t="str">
        <f t="shared" si="63"/>
        <v>学前教育</v>
      </c>
      <c r="H165" s="7" t="str">
        <f>"专科(高职)"</f>
        <v>专科(高职)</v>
      </c>
      <c r="I165" s="7" t="str">
        <f t="shared" si="49"/>
        <v>幼儿园教师资格</v>
      </c>
    </row>
    <row r="166" customHeight="1" spans="1:9">
      <c r="A166" s="6">
        <v>164</v>
      </c>
      <c r="B166" s="7" t="s">
        <v>11</v>
      </c>
      <c r="C166" s="8" t="str">
        <f>"李秋幸"</f>
        <v>李秋幸</v>
      </c>
      <c r="D166" s="8" t="str">
        <f t="shared" si="62"/>
        <v>女</v>
      </c>
      <c r="E166" s="7" t="str">
        <f>"469003199505176727"</f>
        <v>469003199505176727</v>
      </c>
      <c r="F166" s="7" t="str">
        <f t="shared" si="64"/>
        <v>琼台师范学院</v>
      </c>
      <c r="G166" s="7" t="str">
        <f t="shared" si="63"/>
        <v>学前教育</v>
      </c>
      <c r="H166" s="7" t="str">
        <f t="shared" ref="H166:H171" si="65">"专科"</f>
        <v>专科</v>
      </c>
      <c r="I166" s="7" t="str">
        <f t="shared" si="49"/>
        <v>幼儿园教师资格</v>
      </c>
    </row>
    <row r="167" customHeight="1" spans="1:9">
      <c r="A167" s="6">
        <v>165</v>
      </c>
      <c r="B167" s="7" t="s">
        <v>11</v>
      </c>
      <c r="C167" s="8" t="str">
        <f>"陈娇满"</f>
        <v>陈娇满</v>
      </c>
      <c r="D167" s="8" t="str">
        <f t="shared" si="62"/>
        <v>女</v>
      </c>
      <c r="E167" s="7" t="str">
        <f>"46003419970214072X"</f>
        <v>46003419970214072X</v>
      </c>
      <c r="F167" s="7" t="str">
        <f>"商丘学院"</f>
        <v>商丘学院</v>
      </c>
      <c r="G167" s="7" t="str">
        <f>"学前教育(师范)"</f>
        <v>学前教育(师范)</v>
      </c>
      <c r="H167" s="7" t="str">
        <f>"本科"</f>
        <v>本科</v>
      </c>
      <c r="I167" s="7" t="str">
        <f t="shared" si="49"/>
        <v>幼儿园教师资格</v>
      </c>
    </row>
    <row r="168" customHeight="1" spans="1:9">
      <c r="A168" s="6">
        <v>166</v>
      </c>
      <c r="B168" s="7" t="s">
        <v>11</v>
      </c>
      <c r="C168" s="8" t="str">
        <f>"王小慧"</f>
        <v>王小慧</v>
      </c>
      <c r="D168" s="8" t="str">
        <f t="shared" si="62"/>
        <v>女</v>
      </c>
      <c r="E168" s="7" t="str">
        <f>"460027199710022324"</f>
        <v>460027199710022324</v>
      </c>
      <c r="F168" s="7" t="str">
        <f t="shared" si="64"/>
        <v>琼台师范学院</v>
      </c>
      <c r="G168" s="7" t="str">
        <f t="shared" ref="G168:G171" si="66">"学前教育"</f>
        <v>学前教育</v>
      </c>
      <c r="H168" s="7" t="str">
        <f t="shared" si="65"/>
        <v>专科</v>
      </c>
      <c r="I168" s="7" t="str">
        <f t="shared" si="49"/>
        <v>幼儿园教师资格</v>
      </c>
    </row>
    <row r="169" customHeight="1" spans="1:9">
      <c r="A169" s="6">
        <v>167</v>
      </c>
      <c r="B169" s="7" t="s">
        <v>10</v>
      </c>
      <c r="C169" s="8" t="str">
        <f>"陈秋燕"</f>
        <v>陈秋燕</v>
      </c>
      <c r="D169" s="8" t="str">
        <f t="shared" si="62"/>
        <v>女</v>
      </c>
      <c r="E169" s="7" t="str">
        <f>"460003199503153224"</f>
        <v>460003199503153224</v>
      </c>
      <c r="F169" s="7" t="str">
        <f t="shared" si="64"/>
        <v>琼台师范学院</v>
      </c>
      <c r="G169" s="7" t="str">
        <f t="shared" si="66"/>
        <v>学前教育</v>
      </c>
      <c r="H169" s="7" t="str">
        <f t="shared" ref="H169:H174" si="67">"专科(高职)"</f>
        <v>专科(高职)</v>
      </c>
      <c r="I169" s="7" t="str">
        <f t="shared" si="49"/>
        <v>幼儿园教师资格</v>
      </c>
    </row>
    <row r="170" customHeight="1" spans="1:9">
      <c r="A170" s="6">
        <v>168</v>
      </c>
      <c r="B170" s="7" t="s">
        <v>10</v>
      </c>
      <c r="C170" s="8" t="str">
        <f>"吴彩虹"</f>
        <v>吴彩虹</v>
      </c>
      <c r="D170" s="8" t="str">
        <f t="shared" si="62"/>
        <v>女</v>
      </c>
      <c r="E170" s="7" t="str">
        <f>"460004199807130220"</f>
        <v>460004199807130220</v>
      </c>
      <c r="F170" s="7" t="str">
        <f>"西南大学"</f>
        <v>西南大学</v>
      </c>
      <c r="G170" s="7" t="str">
        <f t="shared" si="66"/>
        <v>学前教育</v>
      </c>
      <c r="H170" s="7" t="str">
        <f t="shared" si="65"/>
        <v>专科</v>
      </c>
      <c r="I170" s="7" t="str">
        <f t="shared" si="49"/>
        <v>幼儿园教师资格</v>
      </c>
    </row>
    <row r="171" customHeight="1" spans="1:9">
      <c r="A171" s="6">
        <v>169</v>
      </c>
      <c r="B171" s="7" t="s">
        <v>12</v>
      </c>
      <c r="C171" s="8" t="str">
        <f>"郭仁晶"</f>
        <v>郭仁晶</v>
      </c>
      <c r="D171" s="8" t="str">
        <f t="shared" si="62"/>
        <v>女</v>
      </c>
      <c r="E171" s="7" t="str">
        <f>"460033199512184522"</f>
        <v>460033199512184522</v>
      </c>
      <c r="F171" s="7" t="str">
        <f>"海南热带海洋学院"</f>
        <v>海南热带海洋学院</v>
      </c>
      <c r="G171" s="7" t="str">
        <f t="shared" si="66"/>
        <v>学前教育</v>
      </c>
      <c r="H171" s="7" t="str">
        <f t="shared" si="65"/>
        <v>专科</v>
      </c>
      <c r="I171" s="7" t="str">
        <f t="shared" si="49"/>
        <v>幼儿园教师资格</v>
      </c>
    </row>
    <row r="172" customHeight="1" spans="1:9">
      <c r="A172" s="6">
        <v>170</v>
      </c>
      <c r="B172" s="7" t="s">
        <v>11</v>
      </c>
      <c r="C172" s="8" t="str">
        <f>"冯春柳"</f>
        <v>冯春柳</v>
      </c>
      <c r="D172" s="8" t="str">
        <f t="shared" si="62"/>
        <v>女</v>
      </c>
      <c r="E172" s="7" t="str">
        <f>"46000419980416322X"</f>
        <v>46000419980416322X</v>
      </c>
      <c r="F172" s="7" t="str">
        <f t="shared" ref="F172:F175" si="68">"琼台师范学院"</f>
        <v>琼台师范学院</v>
      </c>
      <c r="G172" s="7" t="str">
        <f>"学前教育专业"</f>
        <v>学前教育专业</v>
      </c>
      <c r="H172" s="7" t="str">
        <f t="shared" si="67"/>
        <v>专科(高职)</v>
      </c>
      <c r="I172" s="7" t="str">
        <f t="shared" si="49"/>
        <v>幼儿园教师资格</v>
      </c>
    </row>
    <row r="173" customHeight="1" spans="1:9">
      <c r="A173" s="6">
        <v>171</v>
      </c>
      <c r="B173" s="7" t="s">
        <v>10</v>
      </c>
      <c r="C173" s="8" t="str">
        <f>"林柳曼"</f>
        <v>林柳曼</v>
      </c>
      <c r="D173" s="8" t="str">
        <f t="shared" si="62"/>
        <v>女</v>
      </c>
      <c r="E173" s="7" t="str">
        <f>"460006199603192721"</f>
        <v>460006199603192721</v>
      </c>
      <c r="F173" s="7" t="str">
        <f>"海南师范大学"</f>
        <v>海南师范大学</v>
      </c>
      <c r="G173" s="7" t="str">
        <f t="shared" ref="G173:G178" si="69">"学前教育"</f>
        <v>学前教育</v>
      </c>
      <c r="H173" s="7" t="str">
        <f t="shared" si="67"/>
        <v>专科(高职)</v>
      </c>
      <c r="I173" s="7" t="str">
        <f t="shared" si="49"/>
        <v>幼儿园教师资格</v>
      </c>
    </row>
    <row r="174" customHeight="1" spans="1:9">
      <c r="A174" s="6">
        <v>172</v>
      </c>
      <c r="B174" s="7" t="s">
        <v>11</v>
      </c>
      <c r="C174" s="8" t="str">
        <f>"刘家欣"</f>
        <v>刘家欣</v>
      </c>
      <c r="D174" s="8" t="str">
        <f t="shared" si="62"/>
        <v>女</v>
      </c>
      <c r="E174" s="7" t="str">
        <f>"460007199601130443"</f>
        <v>460007199601130443</v>
      </c>
      <c r="F174" s="7" t="str">
        <f t="shared" si="68"/>
        <v>琼台师范学院</v>
      </c>
      <c r="G174" s="7" t="str">
        <f t="shared" si="69"/>
        <v>学前教育</v>
      </c>
      <c r="H174" s="7" t="str">
        <f t="shared" si="67"/>
        <v>专科(高职)</v>
      </c>
      <c r="I174" s="7" t="str">
        <f t="shared" si="49"/>
        <v>幼儿园教师资格</v>
      </c>
    </row>
    <row r="175" customHeight="1" spans="1:9">
      <c r="A175" s="6">
        <v>173</v>
      </c>
      <c r="B175" s="7" t="s">
        <v>10</v>
      </c>
      <c r="C175" s="8" t="str">
        <f>"张伟波"</f>
        <v>张伟波</v>
      </c>
      <c r="D175" s="8" t="str">
        <f t="shared" si="62"/>
        <v>女</v>
      </c>
      <c r="E175" s="7" t="str">
        <f>"460003199411114826"</f>
        <v>460003199411114826</v>
      </c>
      <c r="F175" s="7" t="str">
        <f t="shared" si="68"/>
        <v>琼台师范学院</v>
      </c>
      <c r="G175" s="7" t="str">
        <f t="shared" si="69"/>
        <v>学前教育</v>
      </c>
      <c r="H175" s="7" t="str">
        <f t="shared" ref="H175:H177" si="70">"专科"</f>
        <v>专科</v>
      </c>
      <c r="I175" s="7" t="str">
        <f t="shared" si="49"/>
        <v>幼儿园教师资格</v>
      </c>
    </row>
    <row r="176" customHeight="1" spans="1:9">
      <c r="A176" s="6">
        <v>174</v>
      </c>
      <c r="B176" s="7" t="s">
        <v>10</v>
      </c>
      <c r="C176" s="8" t="str">
        <f>"林春满"</f>
        <v>林春满</v>
      </c>
      <c r="D176" s="8" t="str">
        <f t="shared" si="62"/>
        <v>女</v>
      </c>
      <c r="E176" s="7" t="str">
        <f>"460028199109030426"</f>
        <v>460028199109030426</v>
      </c>
      <c r="F176" s="7" t="str">
        <f>"琼台师范高等专科学校"</f>
        <v>琼台师范高等专科学校</v>
      </c>
      <c r="G176" s="7" t="str">
        <f t="shared" si="69"/>
        <v>学前教育</v>
      </c>
      <c r="H176" s="7" t="str">
        <f t="shared" si="70"/>
        <v>专科</v>
      </c>
      <c r="I176" s="7" t="str">
        <f t="shared" si="49"/>
        <v>幼儿园教师资格</v>
      </c>
    </row>
    <row r="177" customHeight="1" spans="1:9">
      <c r="A177" s="6">
        <v>175</v>
      </c>
      <c r="B177" s="7" t="s">
        <v>10</v>
      </c>
      <c r="C177" s="8" t="str">
        <f>"曾灵灵"</f>
        <v>曾灵灵</v>
      </c>
      <c r="D177" s="8" t="str">
        <f t="shared" si="62"/>
        <v>女</v>
      </c>
      <c r="E177" s="7" t="str">
        <f>"460028199506190108"</f>
        <v>460028199506190108</v>
      </c>
      <c r="F177" s="7" t="str">
        <f>"海南热带海洋学院"</f>
        <v>海南热带海洋学院</v>
      </c>
      <c r="G177" s="7" t="str">
        <f t="shared" si="69"/>
        <v>学前教育</v>
      </c>
      <c r="H177" s="7" t="str">
        <f t="shared" si="70"/>
        <v>专科</v>
      </c>
      <c r="I177" s="7" t="str">
        <f t="shared" si="49"/>
        <v>幼儿园教师资格</v>
      </c>
    </row>
    <row r="178" customHeight="1" spans="1:9">
      <c r="A178" s="6">
        <v>176</v>
      </c>
      <c r="B178" s="7" t="s">
        <v>10</v>
      </c>
      <c r="C178" s="8" t="str">
        <f>"谭小琦"</f>
        <v>谭小琦</v>
      </c>
      <c r="D178" s="8" t="str">
        <f t="shared" si="62"/>
        <v>女</v>
      </c>
      <c r="E178" s="7" t="str">
        <f>"460003199801150427"</f>
        <v>460003199801150427</v>
      </c>
      <c r="F178" s="7" t="str">
        <f t="shared" ref="F178:F181" si="71">"琼台师范学院"</f>
        <v>琼台师范学院</v>
      </c>
      <c r="G178" s="7" t="str">
        <f t="shared" si="69"/>
        <v>学前教育</v>
      </c>
      <c r="H178" s="7" t="str">
        <f>"专科(高职)"</f>
        <v>专科(高职)</v>
      </c>
      <c r="I178" s="7" t="str">
        <f t="shared" si="49"/>
        <v>幼儿园教师资格</v>
      </c>
    </row>
    <row r="179" customHeight="1" spans="1:9">
      <c r="A179" s="6">
        <v>177</v>
      </c>
      <c r="B179" s="7" t="s">
        <v>11</v>
      </c>
      <c r="C179" s="8" t="str">
        <f>"陈海联"</f>
        <v>陈海联</v>
      </c>
      <c r="D179" s="8" t="str">
        <f t="shared" si="62"/>
        <v>女</v>
      </c>
      <c r="E179" s="7" t="str">
        <f>"460028199602046026"</f>
        <v>460028199602046026</v>
      </c>
      <c r="F179" s="7" t="str">
        <f>"海南热带海洋学院"</f>
        <v>海南热带海洋学院</v>
      </c>
      <c r="G179" s="7" t="str">
        <f>"学前教育（语文方向）"</f>
        <v>学前教育（语文方向）</v>
      </c>
      <c r="H179" s="7" t="str">
        <f t="shared" ref="H179:H181" si="72">"专科"</f>
        <v>专科</v>
      </c>
      <c r="I179" s="7" t="str">
        <f t="shared" si="49"/>
        <v>幼儿园教师资格</v>
      </c>
    </row>
    <row r="180" customHeight="1" spans="1:9">
      <c r="A180" s="6">
        <v>178</v>
      </c>
      <c r="B180" s="7" t="s">
        <v>10</v>
      </c>
      <c r="C180" s="8" t="str">
        <f>"罗妹娟"</f>
        <v>罗妹娟</v>
      </c>
      <c r="D180" s="8" t="str">
        <f t="shared" si="62"/>
        <v>女</v>
      </c>
      <c r="E180" s="7" t="str">
        <f>"460028199701142443"</f>
        <v>460028199701142443</v>
      </c>
      <c r="F180" s="7" t="str">
        <f t="shared" si="71"/>
        <v>琼台师范学院</v>
      </c>
      <c r="G180" s="7" t="str">
        <f t="shared" ref="G180:G185" si="73">"学前教育"</f>
        <v>学前教育</v>
      </c>
      <c r="H180" s="7" t="str">
        <f t="shared" si="72"/>
        <v>专科</v>
      </c>
      <c r="I180" s="7" t="str">
        <f t="shared" si="49"/>
        <v>幼儿园教师资格</v>
      </c>
    </row>
    <row r="181" customHeight="1" spans="1:9">
      <c r="A181" s="6">
        <v>179</v>
      </c>
      <c r="B181" s="7" t="s">
        <v>11</v>
      </c>
      <c r="C181" s="8" t="str">
        <f>"陈湾"</f>
        <v>陈湾</v>
      </c>
      <c r="D181" s="8" t="str">
        <f t="shared" si="62"/>
        <v>女</v>
      </c>
      <c r="E181" s="7" t="str">
        <f>"460033199609163269"</f>
        <v>460033199609163269</v>
      </c>
      <c r="F181" s="7" t="str">
        <f t="shared" si="71"/>
        <v>琼台师范学院</v>
      </c>
      <c r="G181" s="7" t="str">
        <f t="shared" si="73"/>
        <v>学前教育</v>
      </c>
      <c r="H181" s="7" t="str">
        <f t="shared" si="72"/>
        <v>专科</v>
      </c>
      <c r="I181" s="7" t="str">
        <f t="shared" si="49"/>
        <v>幼儿园教师资格</v>
      </c>
    </row>
    <row r="182" customHeight="1" spans="1:9">
      <c r="A182" s="6">
        <v>180</v>
      </c>
      <c r="B182" s="7" t="s">
        <v>11</v>
      </c>
      <c r="C182" s="8" t="str">
        <f>"曾小铃"</f>
        <v>曾小铃</v>
      </c>
      <c r="D182" s="8" t="str">
        <f t="shared" si="62"/>
        <v>女</v>
      </c>
      <c r="E182" s="7" t="str">
        <f>"460026199405102428"</f>
        <v>460026199405102428</v>
      </c>
      <c r="F182" s="7" t="str">
        <f>"成都文理学院"</f>
        <v>成都文理学院</v>
      </c>
      <c r="G182" s="7" t="str">
        <f t="shared" si="73"/>
        <v>学前教育</v>
      </c>
      <c r="H182" s="7" t="str">
        <f>"本科"</f>
        <v>本科</v>
      </c>
      <c r="I182" s="7" t="str">
        <f t="shared" si="49"/>
        <v>幼儿园教师资格</v>
      </c>
    </row>
    <row r="183" customHeight="1" spans="1:9">
      <c r="A183" s="6">
        <v>181</v>
      </c>
      <c r="B183" s="7" t="s">
        <v>11</v>
      </c>
      <c r="C183" s="8" t="str">
        <f>"郑雅心"</f>
        <v>郑雅心</v>
      </c>
      <c r="D183" s="8" t="str">
        <f t="shared" si="62"/>
        <v>女</v>
      </c>
      <c r="E183" s="7" t="str">
        <f>"460006199704224825"</f>
        <v>460006199704224825</v>
      </c>
      <c r="F183" s="7" t="str">
        <f>"琼台师范学院"</f>
        <v>琼台师范学院</v>
      </c>
      <c r="G183" s="7" t="str">
        <f t="shared" si="73"/>
        <v>学前教育</v>
      </c>
      <c r="H183" s="7" t="str">
        <f t="shared" ref="H183:H191" si="74">"专科"</f>
        <v>专科</v>
      </c>
      <c r="I183" s="7" t="str">
        <f t="shared" si="49"/>
        <v>幼儿园教师资格</v>
      </c>
    </row>
    <row r="184" customHeight="1" spans="1:9">
      <c r="A184" s="6">
        <v>182</v>
      </c>
      <c r="B184" s="7" t="s">
        <v>10</v>
      </c>
      <c r="C184" s="8" t="str">
        <f>"陈红"</f>
        <v>陈红</v>
      </c>
      <c r="D184" s="8" t="str">
        <f t="shared" si="62"/>
        <v>女</v>
      </c>
      <c r="E184" s="7" t="str">
        <f>"46000619910905442X"</f>
        <v>46000619910905442X</v>
      </c>
      <c r="F184" s="7" t="str">
        <f>"海南师范大学"</f>
        <v>海南师范大学</v>
      </c>
      <c r="G184" s="7" t="str">
        <f t="shared" si="73"/>
        <v>学前教育</v>
      </c>
      <c r="H184" s="7" t="str">
        <f>"本科"</f>
        <v>本科</v>
      </c>
      <c r="I184" s="7" t="str">
        <f t="shared" si="49"/>
        <v>幼儿园教师资格</v>
      </c>
    </row>
    <row r="185" customHeight="1" spans="1:9">
      <c r="A185" s="6">
        <v>183</v>
      </c>
      <c r="B185" s="7" t="s">
        <v>10</v>
      </c>
      <c r="C185" s="8" t="str">
        <f>"符丽媛"</f>
        <v>符丽媛</v>
      </c>
      <c r="D185" s="8" t="str">
        <f t="shared" si="62"/>
        <v>女</v>
      </c>
      <c r="E185" s="7" t="str">
        <f>"46000519941110302X"</f>
        <v>46000519941110302X</v>
      </c>
      <c r="F185" s="7" t="str">
        <f>"海南师范大学"</f>
        <v>海南师范大学</v>
      </c>
      <c r="G185" s="7" t="str">
        <f t="shared" si="73"/>
        <v>学前教育</v>
      </c>
      <c r="H185" s="7" t="str">
        <f t="shared" si="74"/>
        <v>专科</v>
      </c>
      <c r="I185" s="7" t="str">
        <f t="shared" si="49"/>
        <v>幼儿园教师资格</v>
      </c>
    </row>
    <row r="186" customHeight="1" spans="1:9">
      <c r="A186" s="6">
        <v>184</v>
      </c>
      <c r="B186" s="7" t="s">
        <v>10</v>
      </c>
      <c r="C186" s="8" t="str">
        <f>"林芳丽"</f>
        <v>林芳丽</v>
      </c>
      <c r="D186" s="8" t="str">
        <f t="shared" si="62"/>
        <v>女</v>
      </c>
      <c r="E186" s="7" t="str">
        <f>"460026199209060929"</f>
        <v>460026199209060929</v>
      </c>
      <c r="F186" s="7" t="str">
        <f t="shared" ref="F186:F191" si="75">"琼台师范高等专科学校"</f>
        <v>琼台师范高等专科学校</v>
      </c>
      <c r="G186" s="7" t="str">
        <f>"学前教育（英语方向）"</f>
        <v>学前教育（英语方向）</v>
      </c>
      <c r="H186" s="7" t="str">
        <f t="shared" si="74"/>
        <v>专科</v>
      </c>
      <c r="I186" s="7" t="str">
        <f t="shared" si="49"/>
        <v>幼儿园教师资格</v>
      </c>
    </row>
    <row r="187" customHeight="1" spans="1:9">
      <c r="A187" s="6">
        <v>185</v>
      </c>
      <c r="B187" s="7" t="s">
        <v>12</v>
      </c>
      <c r="C187" s="8" t="str">
        <f>"李强萍"</f>
        <v>李强萍</v>
      </c>
      <c r="D187" s="8" t="str">
        <f t="shared" si="62"/>
        <v>女</v>
      </c>
      <c r="E187" s="7" t="str">
        <f>"460031199612216429"</f>
        <v>460031199612216429</v>
      </c>
      <c r="F187" s="7" t="str">
        <f>"海南热带海洋学院"</f>
        <v>海南热带海洋学院</v>
      </c>
      <c r="G187" s="7" t="str">
        <f t="shared" ref="G187:G190" si="76">"学前教育"</f>
        <v>学前教育</v>
      </c>
      <c r="H187" s="7" t="str">
        <f t="shared" si="74"/>
        <v>专科</v>
      </c>
      <c r="I187" s="7" t="str">
        <f t="shared" si="49"/>
        <v>幼儿园教师资格</v>
      </c>
    </row>
    <row r="188" customHeight="1" spans="1:9">
      <c r="A188" s="6">
        <v>186</v>
      </c>
      <c r="B188" s="7" t="s">
        <v>10</v>
      </c>
      <c r="C188" s="8" t="str">
        <f>"陈光彩"</f>
        <v>陈光彩</v>
      </c>
      <c r="D188" s="8" t="str">
        <f t="shared" si="62"/>
        <v>女</v>
      </c>
      <c r="E188" s="7" t="str">
        <f>"46003119950516642X"</f>
        <v>46003119950516642X</v>
      </c>
      <c r="F188" s="7" t="str">
        <f t="shared" ref="F188:F194" si="77">"琼台师范学院"</f>
        <v>琼台师范学院</v>
      </c>
      <c r="G188" s="7" t="str">
        <f t="shared" si="76"/>
        <v>学前教育</v>
      </c>
      <c r="H188" s="7" t="str">
        <f t="shared" si="74"/>
        <v>专科</v>
      </c>
      <c r="I188" s="7" t="str">
        <f t="shared" si="49"/>
        <v>幼儿园教师资格</v>
      </c>
    </row>
    <row r="189" customHeight="1" spans="1:9">
      <c r="A189" s="6">
        <v>187</v>
      </c>
      <c r="B189" s="7" t="s">
        <v>11</v>
      </c>
      <c r="C189" s="8" t="str">
        <f>"裴晓丽"</f>
        <v>裴晓丽</v>
      </c>
      <c r="D189" s="8" t="str">
        <f t="shared" si="62"/>
        <v>女</v>
      </c>
      <c r="E189" s="7" t="str">
        <f>"460006199406112323"</f>
        <v>460006199406112323</v>
      </c>
      <c r="F189" s="7" t="str">
        <f t="shared" si="75"/>
        <v>琼台师范高等专科学校</v>
      </c>
      <c r="G189" s="7" t="str">
        <f t="shared" si="76"/>
        <v>学前教育</v>
      </c>
      <c r="H189" s="7" t="str">
        <f t="shared" si="74"/>
        <v>专科</v>
      </c>
      <c r="I189" s="7" t="str">
        <f t="shared" si="49"/>
        <v>幼儿园教师资格</v>
      </c>
    </row>
    <row r="190" customHeight="1" spans="1:9">
      <c r="A190" s="6">
        <v>188</v>
      </c>
      <c r="B190" s="7" t="s">
        <v>12</v>
      </c>
      <c r="C190" s="8" t="str">
        <f>"郑晓晓"</f>
        <v>郑晓晓</v>
      </c>
      <c r="D190" s="8" t="str">
        <f t="shared" si="62"/>
        <v>女</v>
      </c>
      <c r="E190" s="7" t="str">
        <f>"460033199602095080"</f>
        <v>460033199602095080</v>
      </c>
      <c r="F190" s="7" t="str">
        <f>"海南热带海洋学院"</f>
        <v>海南热带海洋学院</v>
      </c>
      <c r="G190" s="7" t="str">
        <f t="shared" si="76"/>
        <v>学前教育</v>
      </c>
      <c r="H190" s="7" t="str">
        <f t="shared" si="74"/>
        <v>专科</v>
      </c>
      <c r="I190" s="7" t="str">
        <f t="shared" si="49"/>
        <v>幼儿园教师资格</v>
      </c>
    </row>
    <row r="191" customHeight="1" spans="1:9">
      <c r="A191" s="6">
        <v>189</v>
      </c>
      <c r="B191" s="7" t="s">
        <v>12</v>
      </c>
      <c r="C191" s="8" t="str">
        <f>"钟丽媚"</f>
        <v>钟丽媚</v>
      </c>
      <c r="D191" s="8" t="str">
        <f t="shared" si="62"/>
        <v>女</v>
      </c>
      <c r="E191" s="7" t="str">
        <f>"460033199212153249"</f>
        <v>460033199212153249</v>
      </c>
      <c r="F191" s="7" t="str">
        <f t="shared" si="75"/>
        <v>琼台师范高等专科学校</v>
      </c>
      <c r="G191" s="7" t="str">
        <f>"幼儿园学前教育专业"</f>
        <v>幼儿园学前教育专业</v>
      </c>
      <c r="H191" s="7" t="str">
        <f t="shared" si="74"/>
        <v>专科</v>
      </c>
      <c r="I191" s="7" t="str">
        <f t="shared" si="49"/>
        <v>幼儿园教师资格</v>
      </c>
    </row>
    <row r="192" customHeight="1" spans="1:9">
      <c r="A192" s="6">
        <v>190</v>
      </c>
      <c r="B192" s="7" t="s">
        <v>10</v>
      </c>
      <c r="C192" s="8" t="str">
        <f>"曾小妹"</f>
        <v>曾小妹</v>
      </c>
      <c r="D192" s="8" t="str">
        <f t="shared" si="62"/>
        <v>女</v>
      </c>
      <c r="E192" s="7" t="str">
        <f>"460027199710065121"</f>
        <v>460027199710065121</v>
      </c>
      <c r="F192" s="7" t="str">
        <f t="shared" si="77"/>
        <v>琼台师范学院</v>
      </c>
      <c r="G192" s="7" t="str">
        <f t="shared" ref="G192:G197" si="78">"学前教育"</f>
        <v>学前教育</v>
      </c>
      <c r="H192" s="7" t="str">
        <f>"专科(高职)"</f>
        <v>专科(高职)</v>
      </c>
      <c r="I192" s="7" t="str">
        <f t="shared" si="49"/>
        <v>幼儿园教师资格</v>
      </c>
    </row>
    <row r="193" customHeight="1" spans="1:9">
      <c r="A193" s="6">
        <v>191</v>
      </c>
      <c r="B193" s="7" t="s">
        <v>12</v>
      </c>
      <c r="C193" s="8" t="str">
        <f>"陈晓琪"</f>
        <v>陈晓琪</v>
      </c>
      <c r="D193" s="8" t="str">
        <f t="shared" si="62"/>
        <v>女</v>
      </c>
      <c r="E193" s="7" t="str">
        <f>"46000419960905022X"</f>
        <v>46000419960905022X</v>
      </c>
      <c r="F193" s="7" t="str">
        <f t="shared" si="77"/>
        <v>琼台师范学院</v>
      </c>
      <c r="G193" s="7" t="str">
        <f t="shared" si="78"/>
        <v>学前教育</v>
      </c>
      <c r="H193" s="7" t="str">
        <f t="shared" ref="H193:H195" si="79">"专科"</f>
        <v>专科</v>
      </c>
      <c r="I193" s="7" t="str">
        <f t="shared" si="49"/>
        <v>幼儿园教师资格</v>
      </c>
    </row>
    <row r="194" customHeight="1" spans="1:9">
      <c r="A194" s="6">
        <v>192</v>
      </c>
      <c r="B194" s="7" t="s">
        <v>10</v>
      </c>
      <c r="C194" s="8" t="str">
        <f>"吴迪文"</f>
        <v>吴迪文</v>
      </c>
      <c r="D194" s="8" t="str">
        <f t="shared" si="62"/>
        <v>女</v>
      </c>
      <c r="E194" s="7" t="str">
        <f>"460102199607230924"</f>
        <v>460102199607230924</v>
      </c>
      <c r="F194" s="7" t="str">
        <f t="shared" si="77"/>
        <v>琼台师范学院</v>
      </c>
      <c r="G194" s="7" t="str">
        <f t="shared" si="78"/>
        <v>学前教育</v>
      </c>
      <c r="H194" s="7" t="str">
        <f t="shared" si="79"/>
        <v>专科</v>
      </c>
      <c r="I194" s="7" t="str">
        <f t="shared" si="49"/>
        <v>幼儿园教师资格</v>
      </c>
    </row>
    <row r="195" customHeight="1" spans="1:9">
      <c r="A195" s="6">
        <v>193</v>
      </c>
      <c r="B195" s="7" t="s">
        <v>12</v>
      </c>
      <c r="C195" s="8" t="str">
        <f>"何丹枝"</f>
        <v>何丹枝</v>
      </c>
      <c r="D195" s="8" t="str">
        <f t="shared" si="62"/>
        <v>女</v>
      </c>
      <c r="E195" s="7" t="str">
        <f>"460003199606233040"</f>
        <v>460003199606233040</v>
      </c>
      <c r="F195" s="7" t="str">
        <f>"荆楚理工学院"</f>
        <v>荆楚理工学院</v>
      </c>
      <c r="G195" s="7" t="str">
        <f t="shared" si="78"/>
        <v>学前教育</v>
      </c>
      <c r="H195" s="7" t="str">
        <f t="shared" si="79"/>
        <v>专科</v>
      </c>
      <c r="I195" s="7" t="str">
        <f t="shared" ref="I195:I258" si="80">"幼儿园教师资格"</f>
        <v>幼儿园教师资格</v>
      </c>
    </row>
    <row r="196" customHeight="1" spans="1:9">
      <c r="A196" s="6">
        <v>194</v>
      </c>
      <c r="B196" s="7" t="s">
        <v>11</v>
      </c>
      <c r="C196" s="8" t="str">
        <f>"孙淑麟"</f>
        <v>孙淑麟</v>
      </c>
      <c r="D196" s="8" t="str">
        <f t="shared" si="62"/>
        <v>女</v>
      </c>
      <c r="E196" s="7" t="str">
        <f>"460003199508072343"</f>
        <v>460003199508072343</v>
      </c>
      <c r="F196" s="7" t="str">
        <f t="shared" ref="F196:F199" si="81">"琼台师范学院"</f>
        <v>琼台师范学院</v>
      </c>
      <c r="G196" s="7" t="str">
        <f t="shared" si="78"/>
        <v>学前教育</v>
      </c>
      <c r="H196" s="7" t="str">
        <f>"专科(高职)"</f>
        <v>专科(高职)</v>
      </c>
      <c r="I196" s="7" t="str">
        <f t="shared" si="80"/>
        <v>幼儿园教师资格</v>
      </c>
    </row>
    <row r="197" customHeight="1" spans="1:9">
      <c r="A197" s="6">
        <v>195</v>
      </c>
      <c r="B197" s="7" t="s">
        <v>10</v>
      </c>
      <c r="C197" s="8" t="str">
        <f>"谢燕茹"</f>
        <v>谢燕茹</v>
      </c>
      <c r="D197" s="8" t="str">
        <f t="shared" si="62"/>
        <v>女</v>
      </c>
      <c r="E197" s="7" t="str">
        <f>"460025199304040364"</f>
        <v>460025199304040364</v>
      </c>
      <c r="F197" s="7" t="str">
        <f>"琼州学院"</f>
        <v>琼州学院</v>
      </c>
      <c r="G197" s="7" t="str">
        <f t="shared" si="78"/>
        <v>学前教育</v>
      </c>
      <c r="H197" s="7" t="str">
        <f t="shared" ref="H197:H199" si="82">"专科"</f>
        <v>专科</v>
      </c>
      <c r="I197" s="7" t="str">
        <f t="shared" si="80"/>
        <v>幼儿园教师资格</v>
      </c>
    </row>
    <row r="198" customHeight="1" spans="1:9">
      <c r="A198" s="6">
        <v>196</v>
      </c>
      <c r="B198" s="7" t="s">
        <v>10</v>
      </c>
      <c r="C198" s="8" t="str">
        <f>"魏晓林"</f>
        <v>魏晓林</v>
      </c>
      <c r="D198" s="8" t="str">
        <f t="shared" si="62"/>
        <v>女</v>
      </c>
      <c r="E198" s="7" t="str">
        <f>"370304199612022224"</f>
        <v>370304199612022224</v>
      </c>
      <c r="F198" s="7" t="str">
        <f t="shared" si="81"/>
        <v>琼台师范学院</v>
      </c>
      <c r="G198" s="7" t="str">
        <f>"学前教育专业"</f>
        <v>学前教育专业</v>
      </c>
      <c r="H198" s="7" t="str">
        <f t="shared" si="82"/>
        <v>专科</v>
      </c>
      <c r="I198" s="7" t="str">
        <f t="shared" si="80"/>
        <v>幼儿园教师资格</v>
      </c>
    </row>
    <row r="199" customHeight="1" spans="1:9">
      <c r="A199" s="6">
        <v>197</v>
      </c>
      <c r="B199" s="7" t="s">
        <v>10</v>
      </c>
      <c r="C199" s="8" t="str">
        <f>"吴爱金"</f>
        <v>吴爱金</v>
      </c>
      <c r="D199" s="8" t="str">
        <f t="shared" si="62"/>
        <v>女</v>
      </c>
      <c r="E199" s="7" t="str">
        <f>"460004199604274021"</f>
        <v>460004199604274021</v>
      </c>
      <c r="F199" s="7" t="str">
        <f t="shared" si="81"/>
        <v>琼台师范学院</v>
      </c>
      <c r="G199" s="7" t="str">
        <f t="shared" ref="G199:G201" si="83">"学前教育"</f>
        <v>学前教育</v>
      </c>
      <c r="H199" s="7" t="str">
        <f t="shared" si="82"/>
        <v>专科</v>
      </c>
      <c r="I199" s="7" t="str">
        <f t="shared" si="80"/>
        <v>幼儿园教师资格</v>
      </c>
    </row>
    <row r="200" customHeight="1" spans="1:9">
      <c r="A200" s="6">
        <v>198</v>
      </c>
      <c r="B200" s="7" t="s">
        <v>10</v>
      </c>
      <c r="C200" s="8" t="str">
        <f>"张国琼"</f>
        <v>张国琼</v>
      </c>
      <c r="D200" s="8" t="str">
        <f t="shared" si="62"/>
        <v>女</v>
      </c>
      <c r="E200" s="7" t="str">
        <f>"469022199503145125"</f>
        <v>469022199503145125</v>
      </c>
      <c r="F200" s="7" t="str">
        <f>"海南师范大学"</f>
        <v>海南师范大学</v>
      </c>
      <c r="G200" s="7" t="str">
        <f t="shared" si="83"/>
        <v>学前教育</v>
      </c>
      <c r="H200" s="7" t="str">
        <f>"本科"</f>
        <v>本科</v>
      </c>
      <c r="I200" s="7" t="str">
        <f t="shared" si="80"/>
        <v>幼儿园教师资格</v>
      </c>
    </row>
    <row r="201" customHeight="1" spans="1:9">
      <c r="A201" s="6">
        <v>199</v>
      </c>
      <c r="B201" s="7" t="s">
        <v>11</v>
      </c>
      <c r="C201" s="8" t="str">
        <f>"杨燕婉"</f>
        <v>杨燕婉</v>
      </c>
      <c r="D201" s="8" t="str">
        <f t="shared" si="62"/>
        <v>女</v>
      </c>
      <c r="E201" s="7" t="str">
        <f>"460022199405181220"</f>
        <v>460022199405181220</v>
      </c>
      <c r="F201" s="7" t="str">
        <f>"海南师范大学"</f>
        <v>海南师范大学</v>
      </c>
      <c r="G201" s="7" t="str">
        <f t="shared" si="83"/>
        <v>学前教育</v>
      </c>
      <c r="H201" s="7" t="str">
        <f t="shared" ref="H201:H204" si="84">"专科"</f>
        <v>专科</v>
      </c>
      <c r="I201" s="7" t="str">
        <f t="shared" si="80"/>
        <v>幼儿园教师资格</v>
      </c>
    </row>
    <row r="202" customHeight="1" spans="1:9">
      <c r="A202" s="6">
        <v>200</v>
      </c>
      <c r="B202" s="7" t="s">
        <v>11</v>
      </c>
      <c r="C202" s="8" t="str">
        <f>"羊精玲"</f>
        <v>羊精玲</v>
      </c>
      <c r="D202" s="8" t="str">
        <f t="shared" si="62"/>
        <v>女</v>
      </c>
      <c r="E202" s="7" t="str">
        <f>"460003199411103027"</f>
        <v>460003199411103027</v>
      </c>
      <c r="F202" s="7" t="str">
        <f>"海南热带海洋学院"</f>
        <v>海南热带海洋学院</v>
      </c>
      <c r="G202" s="7" t="str">
        <f>"学前教育专业"</f>
        <v>学前教育专业</v>
      </c>
      <c r="H202" s="7" t="str">
        <f t="shared" si="84"/>
        <v>专科</v>
      </c>
      <c r="I202" s="7" t="str">
        <f t="shared" si="80"/>
        <v>幼儿园教师资格</v>
      </c>
    </row>
    <row r="203" customHeight="1" spans="1:9">
      <c r="A203" s="6">
        <v>201</v>
      </c>
      <c r="B203" s="7" t="s">
        <v>12</v>
      </c>
      <c r="C203" s="8" t="str">
        <f>"陈艳"</f>
        <v>陈艳</v>
      </c>
      <c r="D203" s="8" t="str">
        <f t="shared" si="62"/>
        <v>女</v>
      </c>
      <c r="E203" s="7" t="str">
        <f>"460003199506073246"</f>
        <v>460003199506073246</v>
      </c>
      <c r="F203" s="7" t="str">
        <f>"热带海洋学院"</f>
        <v>热带海洋学院</v>
      </c>
      <c r="G203" s="7" t="str">
        <f>"学前教育（师范）"</f>
        <v>学前教育（师范）</v>
      </c>
      <c r="H203" s="7" t="str">
        <f t="shared" si="84"/>
        <v>专科</v>
      </c>
      <c r="I203" s="7" t="str">
        <f t="shared" si="80"/>
        <v>幼儿园教师资格</v>
      </c>
    </row>
    <row r="204" customHeight="1" spans="1:9">
      <c r="A204" s="6">
        <v>202</v>
      </c>
      <c r="B204" s="7" t="s">
        <v>10</v>
      </c>
      <c r="C204" s="8" t="str">
        <f>"郑庆坤"</f>
        <v>郑庆坤</v>
      </c>
      <c r="D204" s="8" t="str">
        <f t="shared" si="62"/>
        <v>女</v>
      </c>
      <c r="E204" s="7" t="str">
        <f>"460003199612062428"</f>
        <v>460003199612062428</v>
      </c>
      <c r="F204" s="7" t="str">
        <f>"海南热带海洋学院"</f>
        <v>海南热带海洋学院</v>
      </c>
      <c r="G204" s="7" t="str">
        <f t="shared" ref="G204:G208" si="85">"学前教育"</f>
        <v>学前教育</v>
      </c>
      <c r="H204" s="7" t="str">
        <f t="shared" si="84"/>
        <v>专科</v>
      </c>
      <c r="I204" s="7" t="str">
        <f t="shared" si="80"/>
        <v>幼儿园教师资格</v>
      </c>
    </row>
    <row r="205" customHeight="1" spans="1:9">
      <c r="A205" s="6">
        <v>203</v>
      </c>
      <c r="B205" s="7" t="s">
        <v>11</v>
      </c>
      <c r="C205" s="8" t="str">
        <f>"陈晓乐"</f>
        <v>陈晓乐</v>
      </c>
      <c r="D205" s="8" t="str">
        <f t="shared" si="62"/>
        <v>女</v>
      </c>
      <c r="E205" s="7" t="str">
        <f>"460003199502167421"</f>
        <v>460003199502167421</v>
      </c>
      <c r="F205" s="7" t="str">
        <f>"成都文理学院"</f>
        <v>成都文理学院</v>
      </c>
      <c r="G205" s="7" t="str">
        <f>"学前教育专业"</f>
        <v>学前教育专业</v>
      </c>
      <c r="H205" s="7" t="str">
        <f>"本科"</f>
        <v>本科</v>
      </c>
      <c r="I205" s="7" t="str">
        <f t="shared" si="80"/>
        <v>幼儿园教师资格</v>
      </c>
    </row>
    <row r="206" customHeight="1" spans="1:9">
      <c r="A206" s="6">
        <v>204</v>
      </c>
      <c r="B206" s="7" t="s">
        <v>10</v>
      </c>
      <c r="C206" s="8" t="str">
        <f>"朱恒敏"</f>
        <v>朱恒敏</v>
      </c>
      <c r="D206" s="8" t="str">
        <f t="shared" si="62"/>
        <v>女</v>
      </c>
      <c r="E206" s="7" t="str">
        <f>"46003119961119562X"</f>
        <v>46003119961119562X</v>
      </c>
      <c r="F206" s="7" t="str">
        <f>"安徽省淮北职业技术学院"</f>
        <v>安徽省淮北职业技术学院</v>
      </c>
      <c r="G206" s="7" t="str">
        <f t="shared" si="85"/>
        <v>学前教育</v>
      </c>
      <c r="H206" s="7" t="str">
        <f t="shared" ref="H206:H209" si="86">"专科"</f>
        <v>专科</v>
      </c>
      <c r="I206" s="7" t="str">
        <f t="shared" si="80"/>
        <v>幼儿园教师资格</v>
      </c>
    </row>
    <row r="207" customHeight="1" spans="1:9">
      <c r="A207" s="6">
        <v>205</v>
      </c>
      <c r="B207" s="7" t="s">
        <v>10</v>
      </c>
      <c r="C207" s="8" t="str">
        <f>"曾飘"</f>
        <v>曾飘</v>
      </c>
      <c r="D207" s="8" t="str">
        <f t="shared" si="62"/>
        <v>女</v>
      </c>
      <c r="E207" s="7" t="str">
        <f>"460033199503244482"</f>
        <v>460033199503244482</v>
      </c>
      <c r="F207" s="7" t="str">
        <f>"景德镇学院"</f>
        <v>景德镇学院</v>
      </c>
      <c r="G207" s="7" t="str">
        <f t="shared" si="85"/>
        <v>学前教育</v>
      </c>
      <c r="H207" s="7" t="str">
        <f t="shared" si="86"/>
        <v>专科</v>
      </c>
      <c r="I207" s="7" t="str">
        <f t="shared" si="80"/>
        <v>幼儿园教师资格</v>
      </c>
    </row>
    <row r="208" customHeight="1" spans="1:9">
      <c r="A208" s="6">
        <v>206</v>
      </c>
      <c r="B208" s="7" t="s">
        <v>11</v>
      </c>
      <c r="C208" s="8" t="str">
        <f>"王梦蝶"</f>
        <v>王梦蝶</v>
      </c>
      <c r="D208" s="8" t="str">
        <f t="shared" si="62"/>
        <v>女</v>
      </c>
      <c r="E208" s="7" t="str">
        <f>"460003199612230225"</f>
        <v>460003199612230225</v>
      </c>
      <c r="F208" s="7" t="str">
        <f>"梧州学院"</f>
        <v>梧州学院</v>
      </c>
      <c r="G208" s="7" t="str">
        <f t="shared" si="85"/>
        <v>学前教育</v>
      </c>
      <c r="H208" s="7" t="str">
        <f>"本科"</f>
        <v>本科</v>
      </c>
      <c r="I208" s="7" t="str">
        <f t="shared" si="80"/>
        <v>幼儿园教师资格</v>
      </c>
    </row>
    <row r="209" customHeight="1" spans="1:9">
      <c r="A209" s="6">
        <v>207</v>
      </c>
      <c r="B209" s="7" t="s">
        <v>12</v>
      </c>
      <c r="C209" s="8" t="str">
        <f>"吴桂珠"</f>
        <v>吴桂珠</v>
      </c>
      <c r="D209" s="8" t="str">
        <f t="shared" si="62"/>
        <v>女</v>
      </c>
      <c r="E209" s="7" t="str">
        <f>"460026199202020027"</f>
        <v>460026199202020027</v>
      </c>
      <c r="F209" s="7" t="str">
        <f>"琼台师范高等专科学校"</f>
        <v>琼台师范高等专科学校</v>
      </c>
      <c r="G209" s="7" t="str">
        <f>"学前教育（英语方向）"</f>
        <v>学前教育（英语方向）</v>
      </c>
      <c r="H209" s="7" t="str">
        <f t="shared" si="86"/>
        <v>专科</v>
      </c>
      <c r="I209" s="7" t="str">
        <f t="shared" si="80"/>
        <v>幼儿园教师资格</v>
      </c>
    </row>
    <row r="210" customHeight="1" spans="1:9">
      <c r="A210" s="6">
        <v>208</v>
      </c>
      <c r="B210" s="7" t="s">
        <v>10</v>
      </c>
      <c r="C210" s="8" t="str">
        <f>"李运来"</f>
        <v>李运来</v>
      </c>
      <c r="D210" s="8" t="str">
        <f t="shared" si="62"/>
        <v>女</v>
      </c>
      <c r="E210" s="7" t="str">
        <f>"460002199810185828"</f>
        <v>460002199810185828</v>
      </c>
      <c r="F210" s="7" t="str">
        <f>"琼台师范学院"</f>
        <v>琼台师范学院</v>
      </c>
      <c r="G210" s="7" t="str">
        <f t="shared" ref="G210:G217" si="87">"学前教育"</f>
        <v>学前教育</v>
      </c>
      <c r="H210" s="7" t="str">
        <f>"专科(高职)"</f>
        <v>专科(高职)</v>
      </c>
      <c r="I210" s="7" t="str">
        <f t="shared" si="80"/>
        <v>幼儿园教师资格</v>
      </c>
    </row>
    <row r="211" customHeight="1" spans="1:9">
      <c r="A211" s="6">
        <v>209</v>
      </c>
      <c r="B211" s="7" t="s">
        <v>11</v>
      </c>
      <c r="C211" s="8" t="str">
        <f>"黄琳琳"</f>
        <v>黄琳琳</v>
      </c>
      <c r="D211" s="8" t="str">
        <f t="shared" si="62"/>
        <v>女</v>
      </c>
      <c r="E211" s="7" t="str">
        <f>"46000419960822024X"</f>
        <v>46000419960822024X</v>
      </c>
      <c r="F211" s="7" t="str">
        <f>"海南师范大学"</f>
        <v>海南师范大学</v>
      </c>
      <c r="G211" s="7" t="str">
        <f t="shared" si="87"/>
        <v>学前教育</v>
      </c>
      <c r="H211" s="7" t="str">
        <f>"本科"</f>
        <v>本科</v>
      </c>
      <c r="I211" s="7" t="str">
        <f t="shared" si="80"/>
        <v>幼儿园教师资格</v>
      </c>
    </row>
    <row r="212" customHeight="1" spans="1:9">
      <c r="A212" s="6">
        <v>210</v>
      </c>
      <c r="B212" s="7" t="s">
        <v>11</v>
      </c>
      <c r="C212" s="8" t="str">
        <f>"曾苗苗"</f>
        <v>曾苗苗</v>
      </c>
      <c r="D212" s="8" t="str">
        <f t="shared" si="62"/>
        <v>女</v>
      </c>
      <c r="E212" s="7" t="str">
        <f>"460027199705192986"</f>
        <v>460027199705192986</v>
      </c>
      <c r="F212" s="7" t="str">
        <f>"海南热带海洋学院"</f>
        <v>海南热带海洋学院</v>
      </c>
      <c r="G212" s="7" t="str">
        <f>"学前教育（师范）"</f>
        <v>学前教育（师范）</v>
      </c>
      <c r="H212" s="7" t="str">
        <f t="shared" ref="H212:H226" si="88">"专科"</f>
        <v>专科</v>
      </c>
      <c r="I212" s="7" t="str">
        <f t="shared" si="80"/>
        <v>幼儿园教师资格</v>
      </c>
    </row>
    <row r="213" customHeight="1" spans="1:9">
      <c r="A213" s="6">
        <v>211</v>
      </c>
      <c r="B213" s="7" t="s">
        <v>12</v>
      </c>
      <c r="C213" s="8" t="str">
        <f>"洪增霞"</f>
        <v>洪增霞</v>
      </c>
      <c r="D213" s="8" t="str">
        <f t="shared" si="62"/>
        <v>女</v>
      </c>
      <c r="E213" s="7" t="str">
        <f>"460003199612044027"</f>
        <v>460003199612044027</v>
      </c>
      <c r="F213" s="7" t="str">
        <f>"西南大学"</f>
        <v>西南大学</v>
      </c>
      <c r="G213" s="7" t="str">
        <f t="shared" si="87"/>
        <v>学前教育</v>
      </c>
      <c r="H213" s="7" t="str">
        <f t="shared" si="88"/>
        <v>专科</v>
      </c>
      <c r="I213" s="7" t="str">
        <f t="shared" si="80"/>
        <v>幼儿园教师资格</v>
      </c>
    </row>
    <row r="214" customHeight="1" spans="1:9">
      <c r="A214" s="6">
        <v>212</v>
      </c>
      <c r="B214" s="7" t="s">
        <v>10</v>
      </c>
      <c r="C214" s="8" t="str">
        <f>"刘秀"</f>
        <v>刘秀</v>
      </c>
      <c r="D214" s="8" t="str">
        <f t="shared" si="62"/>
        <v>女</v>
      </c>
      <c r="E214" s="7" t="str">
        <f>"362430199804075126"</f>
        <v>362430199804075126</v>
      </c>
      <c r="F214" s="7" t="str">
        <f>"井冈山大学"</f>
        <v>井冈山大学</v>
      </c>
      <c r="G214" s="7" t="str">
        <f t="shared" si="87"/>
        <v>学前教育</v>
      </c>
      <c r="H214" s="7" t="str">
        <f>"专科(高职)"</f>
        <v>专科(高职)</v>
      </c>
      <c r="I214" s="7" t="str">
        <f t="shared" si="80"/>
        <v>幼儿园教师资格</v>
      </c>
    </row>
    <row r="215" customHeight="1" spans="1:9">
      <c r="A215" s="6">
        <v>213</v>
      </c>
      <c r="B215" s="7" t="s">
        <v>12</v>
      </c>
      <c r="C215" s="8" t="str">
        <f>"梁丽金"</f>
        <v>梁丽金</v>
      </c>
      <c r="D215" s="8" t="str">
        <f t="shared" si="62"/>
        <v>女</v>
      </c>
      <c r="E215" s="7" t="str">
        <f>"460004199411180627"</f>
        <v>460004199411180627</v>
      </c>
      <c r="F215" s="7" t="str">
        <f>"山东理工大学"</f>
        <v>山东理工大学</v>
      </c>
      <c r="G215" s="7" t="str">
        <f t="shared" si="87"/>
        <v>学前教育</v>
      </c>
      <c r="H215" s="7" t="str">
        <f t="shared" si="88"/>
        <v>专科</v>
      </c>
      <c r="I215" s="7" t="str">
        <f t="shared" si="80"/>
        <v>幼儿园教师资格</v>
      </c>
    </row>
    <row r="216" customHeight="1" spans="1:9">
      <c r="A216" s="6">
        <v>214</v>
      </c>
      <c r="B216" s="7" t="s">
        <v>10</v>
      </c>
      <c r="C216" s="8" t="str">
        <f>"刘俊露"</f>
        <v>刘俊露</v>
      </c>
      <c r="D216" s="8" t="str">
        <f t="shared" si="62"/>
        <v>女</v>
      </c>
      <c r="E216" s="7" t="str">
        <f>"460007199608057226"</f>
        <v>460007199608057226</v>
      </c>
      <c r="F216" s="7" t="str">
        <f t="shared" ref="F216:F222" si="89">"琼台师范学院"</f>
        <v>琼台师范学院</v>
      </c>
      <c r="G216" s="7" t="str">
        <f t="shared" si="87"/>
        <v>学前教育</v>
      </c>
      <c r="H216" s="7" t="str">
        <f t="shared" si="88"/>
        <v>专科</v>
      </c>
      <c r="I216" s="7" t="str">
        <f t="shared" si="80"/>
        <v>幼儿园教师资格</v>
      </c>
    </row>
    <row r="217" customHeight="1" spans="1:9">
      <c r="A217" s="6">
        <v>215</v>
      </c>
      <c r="B217" s="7" t="s">
        <v>10</v>
      </c>
      <c r="C217" s="8" t="str">
        <f>"李艳艳"</f>
        <v>李艳艳</v>
      </c>
      <c r="D217" s="8" t="str">
        <f t="shared" si="62"/>
        <v>女</v>
      </c>
      <c r="E217" s="7" t="str">
        <f>"412825199204086724"</f>
        <v>412825199204086724</v>
      </c>
      <c r="F217" s="7" t="str">
        <f>"郑州幼儿师范高等专科学校"</f>
        <v>郑州幼儿师范高等专科学校</v>
      </c>
      <c r="G217" s="7" t="str">
        <f t="shared" si="87"/>
        <v>学前教育</v>
      </c>
      <c r="H217" s="7" t="str">
        <f t="shared" si="88"/>
        <v>专科</v>
      </c>
      <c r="I217" s="7" t="str">
        <f t="shared" si="80"/>
        <v>幼儿园教师资格</v>
      </c>
    </row>
    <row r="218" customHeight="1" spans="1:9">
      <c r="A218" s="6">
        <v>216</v>
      </c>
      <c r="B218" s="7" t="s">
        <v>10</v>
      </c>
      <c r="C218" s="8" t="str">
        <f>"罗小红"</f>
        <v>罗小红</v>
      </c>
      <c r="D218" s="8" t="str">
        <f t="shared" si="62"/>
        <v>女</v>
      </c>
      <c r="E218" s="7" t="str">
        <f>"500101199404055544"</f>
        <v>500101199404055544</v>
      </c>
      <c r="F218" s="7" t="str">
        <f>"南充职业技术学院"</f>
        <v>南充职业技术学院</v>
      </c>
      <c r="G218" s="7" t="str">
        <f>"学前教育学"</f>
        <v>学前教育学</v>
      </c>
      <c r="H218" s="7" t="str">
        <f t="shared" si="88"/>
        <v>专科</v>
      </c>
      <c r="I218" s="7" t="str">
        <f t="shared" si="80"/>
        <v>幼儿园教师资格</v>
      </c>
    </row>
    <row r="219" customHeight="1" spans="1:9">
      <c r="A219" s="6">
        <v>217</v>
      </c>
      <c r="B219" s="7" t="s">
        <v>12</v>
      </c>
      <c r="C219" s="8" t="str">
        <f>"唐以妃"</f>
        <v>唐以妃</v>
      </c>
      <c r="D219" s="8" t="str">
        <f t="shared" si="62"/>
        <v>女</v>
      </c>
      <c r="E219" s="7" t="str">
        <f>"460003199009105702"</f>
        <v>460003199009105702</v>
      </c>
      <c r="F219" s="7" t="str">
        <f>"琼台师范高等专科学校"</f>
        <v>琼台师范高等专科学校</v>
      </c>
      <c r="G219" s="7" t="str">
        <f>"学前教育（英语教育方向）"</f>
        <v>学前教育（英语教育方向）</v>
      </c>
      <c r="H219" s="7" t="str">
        <f t="shared" si="88"/>
        <v>专科</v>
      </c>
      <c r="I219" s="7" t="str">
        <f t="shared" si="80"/>
        <v>幼儿园教师资格</v>
      </c>
    </row>
    <row r="220" customHeight="1" spans="1:9">
      <c r="A220" s="6">
        <v>218</v>
      </c>
      <c r="B220" s="7" t="s">
        <v>11</v>
      </c>
      <c r="C220" s="8" t="str">
        <f>"郑桂舒"</f>
        <v>郑桂舒</v>
      </c>
      <c r="D220" s="8" t="str">
        <f t="shared" si="62"/>
        <v>女</v>
      </c>
      <c r="E220" s="7" t="str">
        <f>"460028199610070026"</f>
        <v>460028199610070026</v>
      </c>
      <c r="F220" s="7" t="str">
        <f t="shared" si="89"/>
        <v>琼台师范学院</v>
      </c>
      <c r="G220" s="7" t="str">
        <f t="shared" ref="G220:G222" si="90">"学前教育"</f>
        <v>学前教育</v>
      </c>
      <c r="H220" s="7" t="str">
        <f t="shared" si="88"/>
        <v>专科</v>
      </c>
      <c r="I220" s="7" t="str">
        <f t="shared" si="80"/>
        <v>幼儿园教师资格</v>
      </c>
    </row>
    <row r="221" customHeight="1" spans="1:9">
      <c r="A221" s="6">
        <v>219</v>
      </c>
      <c r="B221" s="7" t="s">
        <v>10</v>
      </c>
      <c r="C221" s="8" t="str">
        <f>"李婷"</f>
        <v>李婷</v>
      </c>
      <c r="D221" s="8" t="str">
        <f t="shared" si="62"/>
        <v>女</v>
      </c>
      <c r="E221" s="7" t="str">
        <f>"46002719940606102X"</f>
        <v>46002719940606102X</v>
      </c>
      <c r="F221" s="7" t="str">
        <f t="shared" si="89"/>
        <v>琼台师范学院</v>
      </c>
      <c r="G221" s="7" t="str">
        <f t="shared" si="90"/>
        <v>学前教育</v>
      </c>
      <c r="H221" s="7" t="str">
        <f t="shared" si="88"/>
        <v>专科</v>
      </c>
      <c r="I221" s="7" t="str">
        <f t="shared" si="80"/>
        <v>幼儿园教师资格</v>
      </c>
    </row>
    <row r="222" customHeight="1" spans="1:9">
      <c r="A222" s="6">
        <v>220</v>
      </c>
      <c r="B222" s="7" t="s">
        <v>12</v>
      </c>
      <c r="C222" s="8" t="str">
        <f>"张榕方"</f>
        <v>张榕方</v>
      </c>
      <c r="D222" s="8" t="str">
        <f t="shared" si="62"/>
        <v>女</v>
      </c>
      <c r="E222" s="7" t="str">
        <f>"460004199808126426"</f>
        <v>460004199808126426</v>
      </c>
      <c r="F222" s="7" t="str">
        <f t="shared" si="89"/>
        <v>琼台师范学院</v>
      </c>
      <c r="G222" s="7" t="str">
        <f t="shared" si="90"/>
        <v>学前教育</v>
      </c>
      <c r="H222" s="7" t="str">
        <f t="shared" si="88"/>
        <v>专科</v>
      </c>
      <c r="I222" s="7" t="str">
        <f t="shared" si="80"/>
        <v>幼儿园教师资格</v>
      </c>
    </row>
    <row r="223" customHeight="1" spans="1:9">
      <c r="A223" s="6">
        <v>221</v>
      </c>
      <c r="B223" s="7" t="s">
        <v>11</v>
      </c>
      <c r="C223" s="8" t="str">
        <f>"朱金姬"</f>
        <v>朱金姬</v>
      </c>
      <c r="D223" s="8" t="str">
        <f t="shared" si="62"/>
        <v>女</v>
      </c>
      <c r="E223" s="7" t="str">
        <f>"460003199205221428"</f>
        <v>460003199205221428</v>
      </c>
      <c r="F223" s="7" t="str">
        <f>"琼州学院"</f>
        <v>琼州学院</v>
      </c>
      <c r="G223" s="7" t="str">
        <f>"学前教育专业"</f>
        <v>学前教育专业</v>
      </c>
      <c r="H223" s="7" t="str">
        <f t="shared" si="88"/>
        <v>专科</v>
      </c>
      <c r="I223" s="7" t="str">
        <f t="shared" si="80"/>
        <v>幼儿园教师资格</v>
      </c>
    </row>
    <row r="224" customHeight="1" spans="1:9">
      <c r="A224" s="6">
        <v>222</v>
      </c>
      <c r="B224" s="7" t="s">
        <v>11</v>
      </c>
      <c r="C224" s="8" t="str">
        <f>"梁琼丹"</f>
        <v>梁琼丹</v>
      </c>
      <c r="D224" s="8" t="str">
        <f t="shared" si="62"/>
        <v>女</v>
      </c>
      <c r="E224" s="7" t="str">
        <f>"460004199601241443"</f>
        <v>460004199601241443</v>
      </c>
      <c r="F224" s="7" t="str">
        <f>"琼台师范学院"</f>
        <v>琼台师范学院</v>
      </c>
      <c r="G224" s="7" t="str">
        <f t="shared" ref="G224:G234" si="91">"学前教育"</f>
        <v>学前教育</v>
      </c>
      <c r="H224" s="7" t="str">
        <f t="shared" si="88"/>
        <v>专科</v>
      </c>
      <c r="I224" s="7" t="str">
        <f t="shared" si="80"/>
        <v>幼儿园教师资格</v>
      </c>
    </row>
    <row r="225" customHeight="1" spans="1:9">
      <c r="A225" s="6">
        <v>223</v>
      </c>
      <c r="B225" s="7" t="s">
        <v>10</v>
      </c>
      <c r="C225" s="8" t="str">
        <f>"周颖"</f>
        <v>周颖</v>
      </c>
      <c r="D225" s="8" t="str">
        <f t="shared" ref="D225:D287" si="92">"女"</f>
        <v>女</v>
      </c>
      <c r="E225" s="7" t="str">
        <f>"522422199406090021"</f>
        <v>522422199406090021</v>
      </c>
      <c r="F225" s="7" t="str">
        <f>"西南大学"</f>
        <v>西南大学</v>
      </c>
      <c r="G225" s="7" t="str">
        <f t="shared" si="91"/>
        <v>学前教育</v>
      </c>
      <c r="H225" s="7" t="str">
        <f t="shared" si="88"/>
        <v>专科</v>
      </c>
      <c r="I225" s="7" t="str">
        <f t="shared" si="80"/>
        <v>幼儿园教师资格</v>
      </c>
    </row>
    <row r="226" customHeight="1" spans="1:9">
      <c r="A226" s="6">
        <v>224</v>
      </c>
      <c r="B226" s="7" t="s">
        <v>12</v>
      </c>
      <c r="C226" s="8" t="str">
        <f>"陈雅倩"</f>
        <v>陈雅倩</v>
      </c>
      <c r="D226" s="8" t="str">
        <f t="shared" si="92"/>
        <v>女</v>
      </c>
      <c r="E226" s="7" t="str">
        <f>"460006199710185922"</f>
        <v>460006199710185922</v>
      </c>
      <c r="F226" s="7" t="str">
        <f>"海南师范大学"</f>
        <v>海南师范大学</v>
      </c>
      <c r="G226" s="7" t="str">
        <f t="shared" si="91"/>
        <v>学前教育</v>
      </c>
      <c r="H226" s="7" t="str">
        <f t="shared" si="88"/>
        <v>专科</v>
      </c>
      <c r="I226" s="7" t="str">
        <f t="shared" si="80"/>
        <v>幼儿园教师资格</v>
      </c>
    </row>
    <row r="227" customHeight="1" spans="1:9">
      <c r="A227" s="6">
        <v>225</v>
      </c>
      <c r="B227" s="7" t="s">
        <v>12</v>
      </c>
      <c r="C227" s="8" t="str">
        <f>"周海冰"</f>
        <v>周海冰</v>
      </c>
      <c r="D227" s="8" t="str">
        <f t="shared" si="92"/>
        <v>女</v>
      </c>
      <c r="E227" s="7" t="str">
        <f>"460004199110064841"</f>
        <v>460004199110064841</v>
      </c>
      <c r="F227" s="7" t="str">
        <f>"衡水学院"</f>
        <v>衡水学院</v>
      </c>
      <c r="G227" s="7" t="str">
        <f t="shared" si="91"/>
        <v>学前教育</v>
      </c>
      <c r="H227" s="7" t="str">
        <f>"本科"</f>
        <v>本科</v>
      </c>
      <c r="I227" s="7" t="str">
        <f t="shared" si="80"/>
        <v>幼儿园教师资格</v>
      </c>
    </row>
    <row r="228" customHeight="1" spans="1:9">
      <c r="A228" s="6">
        <v>226</v>
      </c>
      <c r="B228" s="7" t="s">
        <v>12</v>
      </c>
      <c r="C228" s="8" t="str">
        <f>"林翠翎"</f>
        <v>林翠翎</v>
      </c>
      <c r="D228" s="8" t="str">
        <f t="shared" si="92"/>
        <v>女</v>
      </c>
      <c r="E228" s="7" t="str">
        <f>"460103199504263623"</f>
        <v>460103199504263623</v>
      </c>
      <c r="F228" s="7" t="str">
        <f>"海南师范大学"</f>
        <v>海南师范大学</v>
      </c>
      <c r="G228" s="7" t="str">
        <f t="shared" si="91"/>
        <v>学前教育</v>
      </c>
      <c r="H228" s="7" t="str">
        <f t="shared" ref="H228:H232" si="93">"专科"</f>
        <v>专科</v>
      </c>
      <c r="I228" s="7" t="str">
        <f t="shared" si="80"/>
        <v>幼儿园教师资格</v>
      </c>
    </row>
    <row r="229" customHeight="1" spans="1:9">
      <c r="A229" s="6">
        <v>227</v>
      </c>
      <c r="B229" s="7" t="s">
        <v>10</v>
      </c>
      <c r="C229" s="8" t="str">
        <f>"陈晴"</f>
        <v>陈晴</v>
      </c>
      <c r="D229" s="8" t="str">
        <f t="shared" si="92"/>
        <v>女</v>
      </c>
      <c r="E229" s="7" t="str">
        <f>"460006199609032040"</f>
        <v>460006199609032040</v>
      </c>
      <c r="F229" s="7" t="str">
        <f>"琼台师范学院"</f>
        <v>琼台师范学院</v>
      </c>
      <c r="G229" s="7" t="str">
        <f t="shared" si="91"/>
        <v>学前教育</v>
      </c>
      <c r="H229" s="12" t="s">
        <v>13</v>
      </c>
      <c r="I229" s="7" t="str">
        <f t="shared" si="80"/>
        <v>幼儿园教师资格</v>
      </c>
    </row>
    <row r="230" customHeight="1" spans="1:9">
      <c r="A230" s="6">
        <v>228</v>
      </c>
      <c r="B230" s="7" t="s">
        <v>10</v>
      </c>
      <c r="C230" s="8" t="str">
        <f>"陈云子"</f>
        <v>陈云子</v>
      </c>
      <c r="D230" s="8" t="str">
        <f t="shared" si="92"/>
        <v>女</v>
      </c>
      <c r="E230" s="7" t="str">
        <f>"469003199105087020"</f>
        <v>469003199105087020</v>
      </c>
      <c r="F230" s="7" t="str">
        <f>"兴义民族师范学院"</f>
        <v>兴义民族师范学院</v>
      </c>
      <c r="G230" s="7" t="str">
        <f t="shared" si="91"/>
        <v>学前教育</v>
      </c>
      <c r="H230" s="7" t="str">
        <f t="shared" si="93"/>
        <v>专科</v>
      </c>
      <c r="I230" s="7" t="str">
        <f t="shared" si="80"/>
        <v>幼儿园教师资格</v>
      </c>
    </row>
    <row r="231" customHeight="1" spans="1:9">
      <c r="A231" s="6">
        <v>229</v>
      </c>
      <c r="B231" s="7" t="s">
        <v>10</v>
      </c>
      <c r="C231" s="8" t="str">
        <f>"李丹丹"</f>
        <v>李丹丹</v>
      </c>
      <c r="D231" s="8" t="str">
        <f t="shared" si="92"/>
        <v>女</v>
      </c>
      <c r="E231" s="7" t="str">
        <f>"460034199603200467"</f>
        <v>460034199603200467</v>
      </c>
      <c r="F231" s="7" t="str">
        <f>"琼台师范学院"</f>
        <v>琼台师范学院</v>
      </c>
      <c r="G231" s="7" t="str">
        <f t="shared" si="91"/>
        <v>学前教育</v>
      </c>
      <c r="H231" s="7" t="str">
        <f t="shared" si="93"/>
        <v>专科</v>
      </c>
      <c r="I231" s="7" t="str">
        <f t="shared" si="80"/>
        <v>幼儿园教师资格</v>
      </c>
    </row>
    <row r="232" customHeight="1" spans="1:9">
      <c r="A232" s="6">
        <v>230</v>
      </c>
      <c r="B232" s="7" t="s">
        <v>10</v>
      </c>
      <c r="C232" s="8" t="str">
        <f>"梁露文"</f>
        <v>梁露文</v>
      </c>
      <c r="D232" s="8" t="str">
        <f t="shared" si="92"/>
        <v>女</v>
      </c>
      <c r="E232" s="7" t="str">
        <f>"460026199505064529"</f>
        <v>460026199505064529</v>
      </c>
      <c r="F232" s="7" t="str">
        <f>"广西幼儿师范高等专科学校"</f>
        <v>广西幼儿师范高等专科学校</v>
      </c>
      <c r="G232" s="7" t="str">
        <f t="shared" si="91"/>
        <v>学前教育</v>
      </c>
      <c r="H232" s="7" t="str">
        <f t="shared" si="93"/>
        <v>专科</v>
      </c>
      <c r="I232" s="7" t="str">
        <f t="shared" si="80"/>
        <v>幼儿园教师资格</v>
      </c>
    </row>
    <row r="233" customHeight="1" spans="1:9">
      <c r="A233" s="6">
        <v>231</v>
      </c>
      <c r="B233" s="7" t="s">
        <v>10</v>
      </c>
      <c r="C233" s="8" t="str">
        <f>"羊永带"</f>
        <v>羊永带</v>
      </c>
      <c r="D233" s="8" t="str">
        <f t="shared" si="92"/>
        <v>女</v>
      </c>
      <c r="E233" s="7" t="str">
        <f>"460300199302150649"</f>
        <v>460300199302150649</v>
      </c>
      <c r="F233" s="7" t="str">
        <f>"成都文理学院"</f>
        <v>成都文理学院</v>
      </c>
      <c r="G233" s="7" t="str">
        <f t="shared" si="91"/>
        <v>学前教育</v>
      </c>
      <c r="H233" s="7" t="str">
        <f t="shared" ref="H233:H235" si="94">"本科"</f>
        <v>本科</v>
      </c>
      <c r="I233" s="7" t="str">
        <f t="shared" si="80"/>
        <v>幼儿园教师资格</v>
      </c>
    </row>
    <row r="234" customHeight="1" spans="1:9">
      <c r="A234" s="6">
        <v>232</v>
      </c>
      <c r="B234" s="7" t="s">
        <v>11</v>
      </c>
      <c r="C234" s="8" t="str">
        <f>"符木芳"</f>
        <v>符木芳</v>
      </c>
      <c r="D234" s="8" t="str">
        <f t="shared" si="92"/>
        <v>女</v>
      </c>
      <c r="E234" s="7" t="str">
        <f>"46000319930112146X"</f>
        <v>46000319930112146X</v>
      </c>
      <c r="F234" s="7" t="str">
        <f>"海南师范大学"</f>
        <v>海南师范大学</v>
      </c>
      <c r="G234" s="7" t="str">
        <f t="shared" si="91"/>
        <v>学前教育</v>
      </c>
      <c r="H234" s="7" t="str">
        <f t="shared" si="94"/>
        <v>本科</v>
      </c>
      <c r="I234" s="7" t="str">
        <f t="shared" si="80"/>
        <v>幼儿园教师资格</v>
      </c>
    </row>
    <row r="235" customHeight="1" spans="1:9">
      <c r="A235" s="6">
        <v>233</v>
      </c>
      <c r="B235" s="7" t="s">
        <v>11</v>
      </c>
      <c r="C235" s="8" t="str">
        <f>"谢少珠"</f>
        <v>谢少珠</v>
      </c>
      <c r="D235" s="8" t="str">
        <f t="shared" si="92"/>
        <v>女</v>
      </c>
      <c r="E235" s="7" t="str">
        <f>"460028199405086846"</f>
        <v>460028199405086846</v>
      </c>
      <c r="F235" s="7" t="str">
        <f>"海南师范大学"</f>
        <v>海南师范大学</v>
      </c>
      <c r="G235" s="7" t="str">
        <f>"学前教育专业"</f>
        <v>学前教育专业</v>
      </c>
      <c r="H235" s="7" t="str">
        <f t="shared" si="94"/>
        <v>本科</v>
      </c>
      <c r="I235" s="7" t="str">
        <f t="shared" si="80"/>
        <v>幼儿园教师资格</v>
      </c>
    </row>
    <row r="236" customHeight="1" spans="1:9">
      <c r="A236" s="6">
        <v>234</v>
      </c>
      <c r="B236" s="7" t="s">
        <v>10</v>
      </c>
      <c r="C236" s="8" t="str">
        <f>"李浩萍"</f>
        <v>李浩萍</v>
      </c>
      <c r="D236" s="8" t="str">
        <f t="shared" si="92"/>
        <v>女</v>
      </c>
      <c r="E236" s="7" t="str">
        <f>"460004199702080829"</f>
        <v>460004199702080829</v>
      </c>
      <c r="F236" s="7" t="str">
        <f t="shared" ref="F236:F241" si="95">"琼台师范学院"</f>
        <v>琼台师范学院</v>
      </c>
      <c r="G236" s="7" t="str">
        <f t="shared" ref="G236:G238" si="96">"学前教育"</f>
        <v>学前教育</v>
      </c>
      <c r="H236" s="7" t="str">
        <f t="shared" ref="H236:H244" si="97">"专科"</f>
        <v>专科</v>
      </c>
      <c r="I236" s="7" t="str">
        <f t="shared" si="80"/>
        <v>幼儿园教师资格</v>
      </c>
    </row>
    <row r="237" customHeight="1" spans="1:9">
      <c r="A237" s="6">
        <v>235</v>
      </c>
      <c r="B237" s="7" t="s">
        <v>10</v>
      </c>
      <c r="C237" s="8" t="str">
        <f>"吴海婷"</f>
        <v>吴海婷</v>
      </c>
      <c r="D237" s="8" t="str">
        <f t="shared" si="92"/>
        <v>女</v>
      </c>
      <c r="E237" s="7" t="str">
        <f>"460027199511276620"</f>
        <v>460027199511276620</v>
      </c>
      <c r="F237" s="7" t="str">
        <f>"海南热带海洋学院"</f>
        <v>海南热带海洋学院</v>
      </c>
      <c r="G237" s="7" t="str">
        <f t="shared" si="96"/>
        <v>学前教育</v>
      </c>
      <c r="H237" s="7" t="str">
        <f t="shared" si="97"/>
        <v>专科</v>
      </c>
      <c r="I237" s="7" t="str">
        <f t="shared" si="80"/>
        <v>幼儿园教师资格</v>
      </c>
    </row>
    <row r="238" customHeight="1" spans="1:9">
      <c r="A238" s="6">
        <v>236</v>
      </c>
      <c r="B238" s="7" t="s">
        <v>10</v>
      </c>
      <c r="C238" s="8" t="str">
        <f>"林娜"</f>
        <v>林娜</v>
      </c>
      <c r="D238" s="8" t="str">
        <f t="shared" si="92"/>
        <v>女</v>
      </c>
      <c r="E238" s="7" t="str">
        <f>"460006199308265625"</f>
        <v>460006199308265625</v>
      </c>
      <c r="F238" s="7" t="str">
        <f>"广西幼儿师范高等专科学校"</f>
        <v>广西幼儿师范高等专科学校</v>
      </c>
      <c r="G238" s="7" t="str">
        <f t="shared" si="96"/>
        <v>学前教育</v>
      </c>
      <c r="H238" s="7" t="str">
        <f t="shared" si="97"/>
        <v>专科</v>
      </c>
      <c r="I238" s="7" t="str">
        <f t="shared" si="80"/>
        <v>幼儿园教师资格</v>
      </c>
    </row>
    <row r="239" customHeight="1" spans="1:9">
      <c r="A239" s="6">
        <v>237</v>
      </c>
      <c r="B239" s="7" t="s">
        <v>11</v>
      </c>
      <c r="C239" s="8" t="str">
        <f>"郭忠丽"</f>
        <v>郭忠丽</v>
      </c>
      <c r="D239" s="8" t="str">
        <f t="shared" si="92"/>
        <v>女</v>
      </c>
      <c r="E239" s="7" t="str">
        <f>"460003199306284663"</f>
        <v>460003199306284663</v>
      </c>
      <c r="F239" s="7" t="str">
        <f>"琼台师范高等专科学校"</f>
        <v>琼台师范高等专科学校</v>
      </c>
      <c r="G239" s="7" t="str">
        <f>"学前教育（英语教育方向）"</f>
        <v>学前教育（英语教育方向）</v>
      </c>
      <c r="H239" s="7" t="str">
        <f t="shared" si="97"/>
        <v>专科</v>
      </c>
      <c r="I239" s="7" t="str">
        <f t="shared" si="80"/>
        <v>幼儿园教师资格</v>
      </c>
    </row>
    <row r="240" customHeight="1" spans="1:9">
      <c r="A240" s="6">
        <v>238</v>
      </c>
      <c r="B240" s="7" t="s">
        <v>12</v>
      </c>
      <c r="C240" s="8" t="str">
        <f>"陈美湘"</f>
        <v>陈美湘</v>
      </c>
      <c r="D240" s="8" t="str">
        <f t="shared" si="92"/>
        <v>女</v>
      </c>
      <c r="E240" s="7" t="str">
        <f>"460003200005110446"</f>
        <v>460003200005110446</v>
      </c>
      <c r="F240" s="7" t="str">
        <f t="shared" si="95"/>
        <v>琼台师范学院</v>
      </c>
      <c r="G240" s="7" t="str">
        <f t="shared" ref="G240:G242" si="98">"学前教育"</f>
        <v>学前教育</v>
      </c>
      <c r="H240" s="7" t="str">
        <f t="shared" si="97"/>
        <v>专科</v>
      </c>
      <c r="I240" s="7" t="str">
        <f t="shared" si="80"/>
        <v>幼儿园教师资格</v>
      </c>
    </row>
    <row r="241" customHeight="1" spans="1:9">
      <c r="A241" s="6">
        <v>239</v>
      </c>
      <c r="B241" s="7" t="s">
        <v>11</v>
      </c>
      <c r="C241" s="8" t="str">
        <f>"陈冰冰"</f>
        <v>陈冰冰</v>
      </c>
      <c r="D241" s="8" t="str">
        <f t="shared" si="92"/>
        <v>女</v>
      </c>
      <c r="E241" s="7" t="str">
        <f>"460004199808141220"</f>
        <v>460004199808141220</v>
      </c>
      <c r="F241" s="7" t="str">
        <f t="shared" si="95"/>
        <v>琼台师范学院</v>
      </c>
      <c r="G241" s="7" t="str">
        <f t="shared" si="98"/>
        <v>学前教育</v>
      </c>
      <c r="H241" s="7" t="str">
        <f t="shared" si="97"/>
        <v>专科</v>
      </c>
      <c r="I241" s="7" t="str">
        <f t="shared" si="80"/>
        <v>幼儿园教师资格</v>
      </c>
    </row>
    <row r="242" customHeight="1" spans="1:9">
      <c r="A242" s="6">
        <v>240</v>
      </c>
      <c r="B242" s="7" t="s">
        <v>11</v>
      </c>
      <c r="C242" s="8" t="str">
        <f>"严小艳"</f>
        <v>严小艳</v>
      </c>
      <c r="D242" s="8" t="str">
        <f t="shared" si="92"/>
        <v>女</v>
      </c>
      <c r="E242" s="7" t="str">
        <f>"460006199309290240"</f>
        <v>460006199309290240</v>
      </c>
      <c r="F242" s="7" t="str">
        <f>"琼州学院"</f>
        <v>琼州学院</v>
      </c>
      <c r="G242" s="7" t="str">
        <f t="shared" si="98"/>
        <v>学前教育</v>
      </c>
      <c r="H242" s="7" t="str">
        <f t="shared" si="97"/>
        <v>专科</v>
      </c>
      <c r="I242" s="7" t="str">
        <f t="shared" si="80"/>
        <v>幼儿园教师资格</v>
      </c>
    </row>
    <row r="243" customHeight="1" spans="1:9">
      <c r="A243" s="6">
        <v>241</v>
      </c>
      <c r="B243" s="7" t="s">
        <v>10</v>
      </c>
      <c r="C243" s="8" t="str">
        <f>"李双"</f>
        <v>李双</v>
      </c>
      <c r="D243" s="8" t="str">
        <f t="shared" si="92"/>
        <v>女</v>
      </c>
      <c r="E243" s="7" t="str">
        <f>"460033199706012681"</f>
        <v>460033199706012681</v>
      </c>
      <c r="F243" s="7" t="str">
        <f>"琼台师范学院"</f>
        <v>琼台师范学院</v>
      </c>
      <c r="G243" s="7" t="str">
        <f>"学前教育(英语教育方向)"</f>
        <v>学前教育(英语教育方向)</v>
      </c>
      <c r="H243" s="7" t="str">
        <f t="shared" si="97"/>
        <v>专科</v>
      </c>
      <c r="I243" s="7" t="str">
        <f t="shared" si="80"/>
        <v>幼儿园教师资格</v>
      </c>
    </row>
    <row r="244" customHeight="1" spans="1:9">
      <c r="A244" s="6">
        <v>242</v>
      </c>
      <c r="B244" s="7" t="s">
        <v>10</v>
      </c>
      <c r="C244" s="8" t="str">
        <f>"符金玉"</f>
        <v>符金玉</v>
      </c>
      <c r="D244" s="8" t="str">
        <f t="shared" si="92"/>
        <v>女</v>
      </c>
      <c r="E244" s="7" t="str">
        <f>"460026199310100323"</f>
        <v>460026199310100323</v>
      </c>
      <c r="F244" s="7" t="str">
        <f>"海南师范大学"</f>
        <v>海南师范大学</v>
      </c>
      <c r="G244" s="7" t="str">
        <f>"学前教育专业"</f>
        <v>学前教育专业</v>
      </c>
      <c r="H244" s="7" t="str">
        <f t="shared" si="97"/>
        <v>专科</v>
      </c>
      <c r="I244" s="7" t="str">
        <f t="shared" si="80"/>
        <v>幼儿园教师资格</v>
      </c>
    </row>
    <row r="245" customHeight="1" spans="1:9">
      <c r="A245" s="6">
        <v>243</v>
      </c>
      <c r="B245" s="7" t="s">
        <v>12</v>
      </c>
      <c r="C245" s="8" t="str">
        <f>"庄海桂"</f>
        <v>庄海桂</v>
      </c>
      <c r="D245" s="8" t="str">
        <f t="shared" si="92"/>
        <v>女</v>
      </c>
      <c r="E245" s="7" t="str">
        <f>"460004199005033621"</f>
        <v>460004199005033621</v>
      </c>
      <c r="F245" s="7" t="str">
        <f>"海南师范大学"</f>
        <v>海南师范大学</v>
      </c>
      <c r="G245" s="7" t="str">
        <f t="shared" ref="G245:G260" si="99">"学前教育"</f>
        <v>学前教育</v>
      </c>
      <c r="H245" s="7" t="str">
        <f t="shared" ref="H245:H247" si="100">"专科(高职)"</f>
        <v>专科(高职)</v>
      </c>
      <c r="I245" s="7" t="str">
        <f t="shared" si="80"/>
        <v>幼儿园教师资格</v>
      </c>
    </row>
    <row r="246" customHeight="1" spans="1:9">
      <c r="A246" s="6">
        <v>244</v>
      </c>
      <c r="B246" s="7" t="s">
        <v>11</v>
      </c>
      <c r="C246" s="8" t="str">
        <f>"陈菊花"</f>
        <v>陈菊花</v>
      </c>
      <c r="D246" s="8" t="str">
        <f t="shared" si="92"/>
        <v>女</v>
      </c>
      <c r="E246" s="7" t="str">
        <f>"469003199612086129"</f>
        <v>469003199612086129</v>
      </c>
      <c r="F246" s="7" t="str">
        <f>"海南热带海洋学院"</f>
        <v>海南热带海洋学院</v>
      </c>
      <c r="G246" s="7" t="str">
        <f t="shared" si="99"/>
        <v>学前教育</v>
      </c>
      <c r="H246" s="7" t="str">
        <f t="shared" si="100"/>
        <v>专科(高职)</v>
      </c>
      <c r="I246" s="7" t="str">
        <f t="shared" si="80"/>
        <v>幼儿园教师资格</v>
      </c>
    </row>
    <row r="247" customHeight="1" spans="1:9">
      <c r="A247" s="6">
        <v>245</v>
      </c>
      <c r="B247" s="7" t="s">
        <v>11</v>
      </c>
      <c r="C247" s="8" t="str">
        <f>"麦映"</f>
        <v>麦映</v>
      </c>
      <c r="D247" s="8" t="str">
        <f t="shared" si="92"/>
        <v>女</v>
      </c>
      <c r="E247" s="7" t="str">
        <f>"460003199605282625"</f>
        <v>460003199605282625</v>
      </c>
      <c r="F247" s="7" t="str">
        <f>"河南省济源市济源职业技术学院"</f>
        <v>河南省济源市济源职业技术学院</v>
      </c>
      <c r="G247" s="7" t="str">
        <f t="shared" si="99"/>
        <v>学前教育</v>
      </c>
      <c r="H247" s="7" t="str">
        <f t="shared" si="100"/>
        <v>专科(高职)</v>
      </c>
      <c r="I247" s="7" t="str">
        <f t="shared" si="80"/>
        <v>幼儿园教师资格</v>
      </c>
    </row>
    <row r="248" customHeight="1" spans="1:9">
      <c r="A248" s="6">
        <v>246</v>
      </c>
      <c r="B248" s="7" t="s">
        <v>11</v>
      </c>
      <c r="C248" s="8" t="str">
        <f>"羊鸿秋"</f>
        <v>羊鸿秋</v>
      </c>
      <c r="D248" s="8" t="str">
        <f t="shared" si="92"/>
        <v>女</v>
      </c>
      <c r="E248" s="7" t="str">
        <f>"460003199107162225"</f>
        <v>460003199107162225</v>
      </c>
      <c r="F248" s="7" t="str">
        <f>"热带海洋学院"</f>
        <v>热带海洋学院</v>
      </c>
      <c r="G248" s="7" t="str">
        <f t="shared" si="99"/>
        <v>学前教育</v>
      </c>
      <c r="H248" s="7" t="str">
        <f t="shared" ref="H248:H254" si="101">"专科"</f>
        <v>专科</v>
      </c>
      <c r="I248" s="7" t="str">
        <f t="shared" si="80"/>
        <v>幼儿园教师资格</v>
      </c>
    </row>
    <row r="249" customHeight="1" spans="1:9">
      <c r="A249" s="6">
        <v>247</v>
      </c>
      <c r="B249" s="7" t="s">
        <v>12</v>
      </c>
      <c r="C249" s="8" t="str">
        <f>"王美玉"</f>
        <v>王美玉</v>
      </c>
      <c r="D249" s="8" t="str">
        <f t="shared" si="92"/>
        <v>女</v>
      </c>
      <c r="E249" s="7" t="str">
        <f>"41282219970927262X"</f>
        <v>41282219970927262X</v>
      </c>
      <c r="F249" s="7" t="str">
        <f t="shared" ref="F249:F251" si="102">"琼台师范学院"</f>
        <v>琼台师范学院</v>
      </c>
      <c r="G249" s="7" t="str">
        <f t="shared" si="99"/>
        <v>学前教育</v>
      </c>
      <c r="H249" s="7" t="str">
        <f t="shared" si="101"/>
        <v>专科</v>
      </c>
      <c r="I249" s="7" t="str">
        <f t="shared" si="80"/>
        <v>幼儿园教师资格</v>
      </c>
    </row>
    <row r="250" customHeight="1" spans="1:9">
      <c r="A250" s="6">
        <v>248</v>
      </c>
      <c r="B250" s="7" t="s">
        <v>11</v>
      </c>
      <c r="C250" s="8" t="str">
        <f>"陈佳玉"</f>
        <v>陈佳玉</v>
      </c>
      <c r="D250" s="8" t="str">
        <f t="shared" si="92"/>
        <v>女</v>
      </c>
      <c r="E250" s="7" t="str">
        <f>"469027199501064788"</f>
        <v>469027199501064788</v>
      </c>
      <c r="F250" s="7" t="str">
        <f t="shared" si="102"/>
        <v>琼台师范学院</v>
      </c>
      <c r="G250" s="7" t="str">
        <f t="shared" si="99"/>
        <v>学前教育</v>
      </c>
      <c r="H250" s="7" t="str">
        <f t="shared" si="101"/>
        <v>专科</v>
      </c>
      <c r="I250" s="7" t="str">
        <f t="shared" si="80"/>
        <v>幼儿园教师资格</v>
      </c>
    </row>
    <row r="251" customHeight="1" spans="1:9">
      <c r="A251" s="6">
        <v>249</v>
      </c>
      <c r="B251" s="7" t="s">
        <v>12</v>
      </c>
      <c r="C251" s="8" t="str">
        <f>"陈婧"</f>
        <v>陈婧</v>
      </c>
      <c r="D251" s="8" t="str">
        <f t="shared" si="92"/>
        <v>女</v>
      </c>
      <c r="E251" s="7" t="str">
        <f>"460034199610025847"</f>
        <v>460034199610025847</v>
      </c>
      <c r="F251" s="7" t="str">
        <f t="shared" si="102"/>
        <v>琼台师范学院</v>
      </c>
      <c r="G251" s="7" t="str">
        <f t="shared" si="99"/>
        <v>学前教育</v>
      </c>
      <c r="H251" s="7" t="str">
        <f t="shared" si="101"/>
        <v>专科</v>
      </c>
      <c r="I251" s="7" t="str">
        <f t="shared" si="80"/>
        <v>幼儿园教师资格</v>
      </c>
    </row>
    <row r="252" customHeight="1" spans="1:9">
      <c r="A252" s="6">
        <v>250</v>
      </c>
      <c r="B252" s="7" t="s">
        <v>10</v>
      </c>
      <c r="C252" s="8" t="str">
        <f>"吴娇瑜"</f>
        <v>吴娇瑜</v>
      </c>
      <c r="D252" s="8" t="str">
        <f t="shared" si="92"/>
        <v>女</v>
      </c>
      <c r="E252" s="7" t="str">
        <f>"46000619910101444X"</f>
        <v>46000619910101444X</v>
      </c>
      <c r="F252" s="7" t="str">
        <f t="shared" ref="F252:F256" si="103">"琼台师范高等专科学校"</f>
        <v>琼台师范高等专科学校</v>
      </c>
      <c r="G252" s="7" t="str">
        <f t="shared" si="99"/>
        <v>学前教育</v>
      </c>
      <c r="H252" s="7" t="str">
        <f t="shared" si="101"/>
        <v>专科</v>
      </c>
      <c r="I252" s="7" t="str">
        <f t="shared" si="80"/>
        <v>幼儿园教师资格</v>
      </c>
    </row>
    <row r="253" customHeight="1" spans="1:9">
      <c r="A253" s="6">
        <v>251</v>
      </c>
      <c r="B253" s="7" t="s">
        <v>11</v>
      </c>
      <c r="C253" s="8" t="str">
        <f>"王会莎"</f>
        <v>王会莎</v>
      </c>
      <c r="D253" s="8" t="str">
        <f t="shared" si="92"/>
        <v>女</v>
      </c>
      <c r="E253" s="7" t="str">
        <f>"460028199608206027"</f>
        <v>460028199608206027</v>
      </c>
      <c r="F253" s="7" t="str">
        <f>"琼台师范学院"</f>
        <v>琼台师范学院</v>
      </c>
      <c r="G253" s="7" t="str">
        <f t="shared" si="99"/>
        <v>学前教育</v>
      </c>
      <c r="H253" s="7" t="str">
        <f t="shared" si="101"/>
        <v>专科</v>
      </c>
      <c r="I253" s="7" t="str">
        <f t="shared" si="80"/>
        <v>幼儿园教师资格</v>
      </c>
    </row>
    <row r="254" customHeight="1" spans="1:9">
      <c r="A254" s="6">
        <v>252</v>
      </c>
      <c r="B254" s="7" t="s">
        <v>11</v>
      </c>
      <c r="C254" s="8" t="str">
        <f>"罗安琪"</f>
        <v>罗安琪</v>
      </c>
      <c r="D254" s="8" t="str">
        <f t="shared" si="92"/>
        <v>女</v>
      </c>
      <c r="E254" s="7" t="str">
        <f>"441581199211055124"</f>
        <v>441581199211055124</v>
      </c>
      <c r="F254" s="7" t="str">
        <f t="shared" si="103"/>
        <v>琼台师范高等专科学校</v>
      </c>
      <c r="G254" s="7" t="str">
        <f t="shared" si="99"/>
        <v>学前教育</v>
      </c>
      <c r="H254" s="7" t="str">
        <f t="shared" si="101"/>
        <v>专科</v>
      </c>
      <c r="I254" s="7" t="str">
        <f t="shared" si="80"/>
        <v>幼儿园教师资格</v>
      </c>
    </row>
    <row r="255" customHeight="1" spans="1:9">
      <c r="A255" s="6">
        <v>253</v>
      </c>
      <c r="B255" s="7" t="s">
        <v>11</v>
      </c>
      <c r="C255" s="8" t="str">
        <f>"李林蓉"</f>
        <v>李林蓉</v>
      </c>
      <c r="D255" s="8" t="str">
        <f t="shared" si="92"/>
        <v>女</v>
      </c>
      <c r="E255" s="7" t="str">
        <f>"460002199406023229"</f>
        <v>460002199406023229</v>
      </c>
      <c r="F255" s="7" t="str">
        <f>"海南师范大学"</f>
        <v>海南师范大学</v>
      </c>
      <c r="G255" s="7" t="str">
        <f t="shared" si="99"/>
        <v>学前教育</v>
      </c>
      <c r="H255" s="7" t="str">
        <f>"专科(高职)"</f>
        <v>专科(高职)</v>
      </c>
      <c r="I255" s="7" t="str">
        <f t="shared" si="80"/>
        <v>幼儿园教师资格</v>
      </c>
    </row>
    <row r="256" customHeight="1" spans="1:9">
      <c r="A256" s="6">
        <v>254</v>
      </c>
      <c r="B256" s="7" t="s">
        <v>12</v>
      </c>
      <c r="C256" s="8" t="str">
        <f>"王小敏"</f>
        <v>王小敏</v>
      </c>
      <c r="D256" s="8" t="str">
        <f t="shared" si="92"/>
        <v>女</v>
      </c>
      <c r="E256" s="7" t="str">
        <f>"460026199105111824"</f>
        <v>460026199105111824</v>
      </c>
      <c r="F256" s="7" t="str">
        <f t="shared" si="103"/>
        <v>琼台师范高等专科学校</v>
      </c>
      <c r="G256" s="7" t="str">
        <f t="shared" si="99"/>
        <v>学前教育</v>
      </c>
      <c r="H256" s="7" t="str">
        <f t="shared" ref="H256:H260" si="104">"专科"</f>
        <v>专科</v>
      </c>
      <c r="I256" s="7" t="str">
        <f t="shared" si="80"/>
        <v>幼儿园教师资格</v>
      </c>
    </row>
    <row r="257" customHeight="1" spans="1:9">
      <c r="A257" s="6">
        <v>255</v>
      </c>
      <c r="B257" s="7" t="s">
        <v>12</v>
      </c>
      <c r="C257" s="8" t="str">
        <f>"何晓乐"</f>
        <v>何晓乐</v>
      </c>
      <c r="D257" s="8" t="str">
        <f t="shared" si="92"/>
        <v>女</v>
      </c>
      <c r="E257" s="7" t="str">
        <f>"45210119961130212X"</f>
        <v>45210119961130212X</v>
      </c>
      <c r="F257" s="7" t="str">
        <f>"广西幼儿师范高等专科学校"</f>
        <v>广西幼儿师范高等专科学校</v>
      </c>
      <c r="G257" s="7" t="str">
        <f t="shared" si="99"/>
        <v>学前教育</v>
      </c>
      <c r="H257" s="7" t="str">
        <f t="shared" si="104"/>
        <v>专科</v>
      </c>
      <c r="I257" s="7" t="str">
        <f t="shared" si="80"/>
        <v>幼儿园教师资格</v>
      </c>
    </row>
    <row r="258" customHeight="1" spans="1:9">
      <c r="A258" s="6">
        <v>256</v>
      </c>
      <c r="B258" s="7" t="s">
        <v>10</v>
      </c>
      <c r="C258" s="8" t="str">
        <f>"王玥"</f>
        <v>王玥</v>
      </c>
      <c r="D258" s="8" t="str">
        <f t="shared" si="92"/>
        <v>女</v>
      </c>
      <c r="E258" s="7" t="str">
        <f>"22050219960728062X"</f>
        <v>22050219960728062X</v>
      </c>
      <c r="F258" s="7" t="str">
        <f>"运城幼儿师范高等专科学校"</f>
        <v>运城幼儿师范高等专科学校</v>
      </c>
      <c r="G258" s="7" t="str">
        <f t="shared" si="99"/>
        <v>学前教育</v>
      </c>
      <c r="H258" s="7" t="str">
        <f t="shared" si="104"/>
        <v>专科</v>
      </c>
      <c r="I258" s="7" t="str">
        <f t="shared" si="80"/>
        <v>幼儿园教师资格</v>
      </c>
    </row>
    <row r="259" customHeight="1" spans="1:9">
      <c r="A259" s="6">
        <v>257</v>
      </c>
      <c r="B259" s="7" t="s">
        <v>12</v>
      </c>
      <c r="C259" s="8" t="str">
        <f>"王丹丹"</f>
        <v>王丹丹</v>
      </c>
      <c r="D259" s="8" t="str">
        <f t="shared" si="92"/>
        <v>女</v>
      </c>
      <c r="E259" s="7" t="str">
        <f>"460025199402180029"</f>
        <v>460025199402180029</v>
      </c>
      <c r="F259" s="7" t="str">
        <f>"海南琼台师范学院"</f>
        <v>海南琼台师范学院</v>
      </c>
      <c r="G259" s="7" t="str">
        <f t="shared" si="99"/>
        <v>学前教育</v>
      </c>
      <c r="H259" s="7" t="str">
        <f t="shared" si="104"/>
        <v>专科</v>
      </c>
      <c r="I259" s="7" t="str">
        <f t="shared" ref="I259:I321" si="105">"幼儿园教师资格"</f>
        <v>幼儿园教师资格</v>
      </c>
    </row>
    <row r="260" customHeight="1" spans="1:9">
      <c r="A260" s="6">
        <v>258</v>
      </c>
      <c r="B260" s="7" t="s">
        <v>11</v>
      </c>
      <c r="C260" s="8" t="str">
        <f>"高菊梅"</f>
        <v>高菊梅</v>
      </c>
      <c r="D260" s="8" t="str">
        <f t="shared" si="92"/>
        <v>女</v>
      </c>
      <c r="E260" s="7" t="str">
        <f>"460003199411082086"</f>
        <v>460003199411082086</v>
      </c>
      <c r="F260" s="7" t="str">
        <f t="shared" ref="F260:F262" si="106">"琼台师范学院"</f>
        <v>琼台师范学院</v>
      </c>
      <c r="G260" s="7" t="str">
        <f t="shared" si="99"/>
        <v>学前教育</v>
      </c>
      <c r="H260" s="7" t="str">
        <f t="shared" si="104"/>
        <v>专科</v>
      </c>
      <c r="I260" s="7" t="str">
        <f t="shared" si="105"/>
        <v>幼儿园教师资格</v>
      </c>
    </row>
    <row r="261" customHeight="1" spans="1:9">
      <c r="A261" s="6">
        <v>259</v>
      </c>
      <c r="B261" s="7" t="s">
        <v>11</v>
      </c>
      <c r="C261" s="8" t="str">
        <f>"叶小娟"</f>
        <v>叶小娟</v>
      </c>
      <c r="D261" s="8" t="str">
        <f t="shared" si="92"/>
        <v>女</v>
      </c>
      <c r="E261" s="7" t="str">
        <f>"460006199501120620"</f>
        <v>460006199501120620</v>
      </c>
      <c r="F261" s="7" t="str">
        <f>"内蒙古师范大学"</f>
        <v>内蒙古师范大学</v>
      </c>
      <c r="G261" s="7" t="str">
        <f>"学前教育专业"</f>
        <v>学前教育专业</v>
      </c>
      <c r="H261" s="7" t="str">
        <f>"本科"</f>
        <v>本科</v>
      </c>
      <c r="I261" s="7" t="str">
        <f t="shared" si="105"/>
        <v>幼儿园教师资格</v>
      </c>
    </row>
    <row r="262" customHeight="1" spans="1:9">
      <c r="A262" s="6">
        <v>260</v>
      </c>
      <c r="B262" s="7" t="s">
        <v>11</v>
      </c>
      <c r="C262" s="8" t="str">
        <f>"黄皇飞"</f>
        <v>黄皇飞</v>
      </c>
      <c r="D262" s="8" t="str">
        <f t="shared" si="92"/>
        <v>女</v>
      </c>
      <c r="E262" s="7" t="str">
        <f>"460006199408141320"</f>
        <v>460006199408141320</v>
      </c>
      <c r="F262" s="7" t="str">
        <f t="shared" si="106"/>
        <v>琼台师范学院</v>
      </c>
      <c r="G262" s="7" t="str">
        <f t="shared" ref="G262:G271" si="107">"学前教育"</f>
        <v>学前教育</v>
      </c>
      <c r="H262" s="7" t="str">
        <f t="shared" ref="H262:H265" si="108">"专科"</f>
        <v>专科</v>
      </c>
      <c r="I262" s="7" t="str">
        <f t="shared" si="105"/>
        <v>幼儿园教师资格</v>
      </c>
    </row>
    <row r="263" customHeight="1" spans="1:9">
      <c r="A263" s="6">
        <v>261</v>
      </c>
      <c r="B263" s="7" t="s">
        <v>12</v>
      </c>
      <c r="C263" s="8" t="str">
        <f>"林桂芳"</f>
        <v>林桂芳</v>
      </c>
      <c r="D263" s="8" t="str">
        <f t="shared" si="92"/>
        <v>女</v>
      </c>
      <c r="E263" s="7" t="str">
        <f>"460102199402171529"</f>
        <v>460102199402171529</v>
      </c>
      <c r="F263" s="7" t="str">
        <f>"岭南师范学院"</f>
        <v>岭南师范学院</v>
      </c>
      <c r="G263" s="7" t="str">
        <f t="shared" si="107"/>
        <v>学前教育</v>
      </c>
      <c r="H263" s="7" t="str">
        <f t="shared" si="108"/>
        <v>专科</v>
      </c>
      <c r="I263" s="7" t="str">
        <f t="shared" si="105"/>
        <v>幼儿园教师资格</v>
      </c>
    </row>
    <row r="264" customHeight="1" spans="1:9">
      <c r="A264" s="6">
        <v>262</v>
      </c>
      <c r="B264" s="7" t="s">
        <v>11</v>
      </c>
      <c r="C264" s="8" t="str">
        <f>"史苗苗"</f>
        <v>史苗苗</v>
      </c>
      <c r="D264" s="8" t="str">
        <f t="shared" si="92"/>
        <v>女</v>
      </c>
      <c r="E264" s="7" t="str">
        <f>"460022199309025121"</f>
        <v>460022199309025121</v>
      </c>
      <c r="F264" s="7" t="str">
        <f>"海南师范大学"</f>
        <v>海南师范大学</v>
      </c>
      <c r="G264" s="7" t="str">
        <f t="shared" si="107"/>
        <v>学前教育</v>
      </c>
      <c r="H264" s="7" t="str">
        <f t="shared" si="108"/>
        <v>专科</v>
      </c>
      <c r="I264" s="7" t="str">
        <f t="shared" si="105"/>
        <v>幼儿园教师资格</v>
      </c>
    </row>
    <row r="265" customHeight="1" spans="1:9">
      <c r="A265" s="6">
        <v>263</v>
      </c>
      <c r="B265" s="7" t="s">
        <v>10</v>
      </c>
      <c r="C265" s="8" t="str">
        <f>"黄雪"</f>
        <v>黄雪</v>
      </c>
      <c r="D265" s="8" t="str">
        <f t="shared" si="92"/>
        <v>女</v>
      </c>
      <c r="E265" s="7" t="str">
        <f>"460006199507282321"</f>
        <v>460006199507282321</v>
      </c>
      <c r="F265" s="7" t="str">
        <f>"琼台师范学院"</f>
        <v>琼台师范学院</v>
      </c>
      <c r="G265" s="7" t="str">
        <f t="shared" si="107"/>
        <v>学前教育</v>
      </c>
      <c r="H265" s="7" t="str">
        <f t="shared" si="108"/>
        <v>专科</v>
      </c>
      <c r="I265" s="7" t="str">
        <f t="shared" si="105"/>
        <v>幼儿园教师资格</v>
      </c>
    </row>
    <row r="266" customHeight="1" spans="1:9">
      <c r="A266" s="6">
        <v>264</v>
      </c>
      <c r="B266" s="7" t="s">
        <v>11</v>
      </c>
      <c r="C266" s="8" t="str">
        <f>"梅凤"</f>
        <v>梅凤</v>
      </c>
      <c r="D266" s="8" t="str">
        <f t="shared" si="92"/>
        <v>女</v>
      </c>
      <c r="E266" s="7" t="str">
        <f>"460006198912050669"</f>
        <v>460006198912050669</v>
      </c>
      <c r="F266" s="7" t="str">
        <f>"湖南师范大学"</f>
        <v>湖南师范大学</v>
      </c>
      <c r="G266" s="7" t="str">
        <f t="shared" si="107"/>
        <v>学前教育</v>
      </c>
      <c r="H266" s="7" t="str">
        <f>"本科"</f>
        <v>本科</v>
      </c>
      <c r="I266" s="7" t="str">
        <f t="shared" si="105"/>
        <v>幼儿园教师资格</v>
      </c>
    </row>
    <row r="267" customHeight="1" spans="1:9">
      <c r="A267" s="6">
        <v>265</v>
      </c>
      <c r="B267" s="7" t="s">
        <v>10</v>
      </c>
      <c r="C267" s="8" t="str">
        <f>"阮白雨"</f>
        <v>阮白雨</v>
      </c>
      <c r="D267" s="8" t="str">
        <f t="shared" si="92"/>
        <v>女</v>
      </c>
      <c r="E267" s="7" t="str">
        <f>"460005199608084547"</f>
        <v>460005199608084547</v>
      </c>
      <c r="F267" s="7" t="str">
        <f>"琼台师范学院"</f>
        <v>琼台师范学院</v>
      </c>
      <c r="G267" s="7" t="str">
        <f t="shared" si="107"/>
        <v>学前教育</v>
      </c>
      <c r="H267" s="7" t="str">
        <f t="shared" ref="H267:H269" si="109">"专科"</f>
        <v>专科</v>
      </c>
      <c r="I267" s="7" t="str">
        <f t="shared" si="105"/>
        <v>幼儿园教师资格</v>
      </c>
    </row>
    <row r="268" customHeight="1" spans="1:9">
      <c r="A268" s="6">
        <v>266</v>
      </c>
      <c r="B268" s="7" t="s">
        <v>10</v>
      </c>
      <c r="C268" s="8" t="str">
        <f>"李美竹"</f>
        <v>李美竹</v>
      </c>
      <c r="D268" s="8" t="str">
        <f t="shared" si="92"/>
        <v>女</v>
      </c>
      <c r="E268" s="7" t="str">
        <f>"460003199007092223"</f>
        <v>460003199007092223</v>
      </c>
      <c r="F268" s="7" t="str">
        <f>"海南师范大学"</f>
        <v>海南师范大学</v>
      </c>
      <c r="G268" s="7" t="str">
        <f t="shared" si="107"/>
        <v>学前教育</v>
      </c>
      <c r="H268" s="7" t="str">
        <f t="shared" si="109"/>
        <v>专科</v>
      </c>
      <c r="I268" s="7" t="str">
        <f t="shared" si="105"/>
        <v>幼儿园教师资格</v>
      </c>
    </row>
    <row r="269" customHeight="1" spans="1:9">
      <c r="A269" s="6">
        <v>267</v>
      </c>
      <c r="B269" s="7" t="s">
        <v>11</v>
      </c>
      <c r="C269" s="8" t="str">
        <f>"刘延带"</f>
        <v>刘延带</v>
      </c>
      <c r="D269" s="8" t="str">
        <f t="shared" si="92"/>
        <v>女</v>
      </c>
      <c r="E269" s="7" t="str">
        <f>"460003199101252625"</f>
        <v>460003199101252625</v>
      </c>
      <c r="F269" s="7" t="str">
        <f>"琼州学院"</f>
        <v>琼州学院</v>
      </c>
      <c r="G269" s="7" t="str">
        <f t="shared" si="107"/>
        <v>学前教育</v>
      </c>
      <c r="H269" s="7" t="str">
        <f t="shared" si="109"/>
        <v>专科</v>
      </c>
      <c r="I269" s="7" t="str">
        <f t="shared" si="105"/>
        <v>幼儿园教师资格</v>
      </c>
    </row>
    <row r="270" customHeight="1" spans="1:9">
      <c r="A270" s="6">
        <v>268</v>
      </c>
      <c r="B270" s="7" t="s">
        <v>11</v>
      </c>
      <c r="C270" s="8" t="str">
        <f>"邓婷丹"</f>
        <v>邓婷丹</v>
      </c>
      <c r="D270" s="8" t="str">
        <f t="shared" si="92"/>
        <v>女</v>
      </c>
      <c r="E270" s="7" t="str">
        <f>"460022199703010024"</f>
        <v>460022199703010024</v>
      </c>
      <c r="F270" s="7" t="str">
        <f>"海南师范大学"</f>
        <v>海南师范大学</v>
      </c>
      <c r="G270" s="7" t="str">
        <f t="shared" si="107"/>
        <v>学前教育</v>
      </c>
      <c r="H270" s="7" t="str">
        <f t="shared" ref="H270:H275" si="110">"本科"</f>
        <v>本科</v>
      </c>
      <c r="I270" s="7" t="str">
        <f t="shared" si="105"/>
        <v>幼儿园教师资格</v>
      </c>
    </row>
    <row r="271" customHeight="1" spans="1:9">
      <c r="A271" s="6">
        <v>269</v>
      </c>
      <c r="B271" s="7" t="s">
        <v>11</v>
      </c>
      <c r="C271" s="8" t="str">
        <f>"林芳慧"</f>
        <v>林芳慧</v>
      </c>
      <c r="D271" s="8" t="str">
        <f t="shared" si="92"/>
        <v>女</v>
      </c>
      <c r="E271" s="7" t="str">
        <f>"460004199507051221"</f>
        <v>460004199507051221</v>
      </c>
      <c r="F271" s="7" t="str">
        <f>"琼台师范高等专科学校"</f>
        <v>琼台师范高等专科学校</v>
      </c>
      <c r="G271" s="7" t="str">
        <f t="shared" si="107"/>
        <v>学前教育</v>
      </c>
      <c r="H271" s="7" t="str">
        <f t="shared" ref="H271:H274" si="111">"专科"</f>
        <v>专科</v>
      </c>
      <c r="I271" s="7" t="str">
        <f t="shared" si="105"/>
        <v>幼儿园教师资格</v>
      </c>
    </row>
    <row r="272" customHeight="1" spans="1:9">
      <c r="A272" s="6">
        <v>270</v>
      </c>
      <c r="B272" s="7" t="s">
        <v>12</v>
      </c>
      <c r="C272" s="8" t="str">
        <f>"王海艺"</f>
        <v>王海艺</v>
      </c>
      <c r="D272" s="8" t="str">
        <f t="shared" si="92"/>
        <v>女</v>
      </c>
      <c r="E272" s="7" t="str">
        <f>"460028199405240460"</f>
        <v>460028199405240460</v>
      </c>
      <c r="F272" s="7" t="str">
        <f t="shared" ref="F272:F276" si="112">"琼台师范学院"</f>
        <v>琼台师范学院</v>
      </c>
      <c r="G272" s="7" t="str">
        <f>"学前教育（英语教育）"</f>
        <v>学前教育（英语教育）</v>
      </c>
      <c r="H272" s="7" t="str">
        <f t="shared" si="111"/>
        <v>专科</v>
      </c>
      <c r="I272" s="7" t="str">
        <f t="shared" si="105"/>
        <v>幼儿园教师资格</v>
      </c>
    </row>
    <row r="273" customHeight="1" spans="1:9">
      <c r="A273" s="6">
        <v>271</v>
      </c>
      <c r="B273" s="7" t="s">
        <v>11</v>
      </c>
      <c r="C273" s="8" t="str">
        <f>"董章欲"</f>
        <v>董章欲</v>
      </c>
      <c r="D273" s="8" t="str">
        <f t="shared" si="92"/>
        <v>女</v>
      </c>
      <c r="E273" s="7" t="str">
        <f>"460200199201163824"</f>
        <v>460200199201163824</v>
      </c>
      <c r="F273" s="7" t="str">
        <f>"西南大学"</f>
        <v>西南大学</v>
      </c>
      <c r="G273" s="7" t="str">
        <f t="shared" ref="G273:G275" si="113">"学前教育"</f>
        <v>学前教育</v>
      </c>
      <c r="H273" s="7" t="str">
        <f t="shared" si="110"/>
        <v>本科</v>
      </c>
      <c r="I273" s="7" t="str">
        <f t="shared" si="105"/>
        <v>幼儿园教师资格</v>
      </c>
    </row>
    <row r="274" customHeight="1" spans="1:9">
      <c r="A274" s="6">
        <v>272</v>
      </c>
      <c r="B274" s="7" t="s">
        <v>10</v>
      </c>
      <c r="C274" s="8" t="str">
        <f>"陈寒冰"</f>
        <v>陈寒冰</v>
      </c>
      <c r="D274" s="8" t="str">
        <f t="shared" si="92"/>
        <v>女</v>
      </c>
      <c r="E274" s="7" t="str">
        <f>"460006199503262921"</f>
        <v>460006199503262921</v>
      </c>
      <c r="F274" s="7" t="str">
        <f t="shared" si="112"/>
        <v>琼台师范学院</v>
      </c>
      <c r="G274" s="7" t="str">
        <f t="shared" si="113"/>
        <v>学前教育</v>
      </c>
      <c r="H274" s="7" t="str">
        <f t="shared" si="111"/>
        <v>专科</v>
      </c>
      <c r="I274" s="7" t="str">
        <f t="shared" si="105"/>
        <v>幼儿园教师资格</v>
      </c>
    </row>
    <row r="275" customHeight="1" spans="1:9">
      <c r="A275" s="6">
        <v>273</v>
      </c>
      <c r="B275" s="7" t="s">
        <v>11</v>
      </c>
      <c r="C275" s="8" t="str">
        <f>"陈少花"</f>
        <v>陈少花</v>
      </c>
      <c r="D275" s="8" t="str">
        <f t="shared" si="92"/>
        <v>女</v>
      </c>
      <c r="E275" s="7" t="str">
        <f>"460026199307242443"</f>
        <v>460026199307242443</v>
      </c>
      <c r="F275" s="7" t="str">
        <f>"海南师范大学"</f>
        <v>海南师范大学</v>
      </c>
      <c r="G275" s="7" t="str">
        <f t="shared" si="113"/>
        <v>学前教育</v>
      </c>
      <c r="H275" s="7" t="str">
        <f t="shared" si="110"/>
        <v>本科</v>
      </c>
      <c r="I275" s="7" t="str">
        <f t="shared" si="105"/>
        <v>幼儿园教师资格</v>
      </c>
    </row>
    <row r="276" customHeight="1" spans="1:9">
      <c r="A276" s="6">
        <v>274</v>
      </c>
      <c r="B276" s="7" t="s">
        <v>11</v>
      </c>
      <c r="C276" s="8" t="str">
        <f>"王翠青"</f>
        <v>王翠青</v>
      </c>
      <c r="D276" s="8" t="str">
        <f t="shared" si="92"/>
        <v>女</v>
      </c>
      <c r="E276" s="7" t="str">
        <f>"460036199306207526"</f>
        <v>460036199306207526</v>
      </c>
      <c r="F276" s="7" t="str">
        <f t="shared" si="112"/>
        <v>琼台师范学院</v>
      </c>
      <c r="G276" s="7" t="str">
        <f>"学前教育（英语教育方向）"</f>
        <v>学前教育（英语教育方向）</v>
      </c>
      <c r="H276" s="7" t="str">
        <f t="shared" ref="H276:H279" si="114">"专科"</f>
        <v>专科</v>
      </c>
      <c r="I276" s="7" t="str">
        <f t="shared" si="105"/>
        <v>幼儿园教师资格</v>
      </c>
    </row>
    <row r="277" customHeight="1" spans="1:9">
      <c r="A277" s="6">
        <v>275</v>
      </c>
      <c r="B277" s="7" t="s">
        <v>10</v>
      </c>
      <c r="C277" s="8" t="str">
        <f>"袁美娜"</f>
        <v>袁美娜</v>
      </c>
      <c r="D277" s="8" t="str">
        <f t="shared" si="92"/>
        <v>女</v>
      </c>
      <c r="E277" s="7" t="str">
        <f>"469007199510257228"</f>
        <v>469007199510257228</v>
      </c>
      <c r="F277" s="7" t="str">
        <f>"成都文理学院"</f>
        <v>成都文理学院</v>
      </c>
      <c r="G277" s="7" t="str">
        <f t="shared" ref="G277:G285" si="115">"学前教育"</f>
        <v>学前教育</v>
      </c>
      <c r="H277" s="7" t="str">
        <f>"本科"</f>
        <v>本科</v>
      </c>
      <c r="I277" s="7" t="str">
        <f t="shared" si="105"/>
        <v>幼儿园教师资格</v>
      </c>
    </row>
    <row r="278" customHeight="1" spans="1:9">
      <c r="A278" s="6">
        <v>276</v>
      </c>
      <c r="B278" s="7" t="s">
        <v>12</v>
      </c>
      <c r="C278" s="8" t="str">
        <f>"苏虹虹"</f>
        <v>苏虹虹</v>
      </c>
      <c r="D278" s="8" t="str">
        <f t="shared" si="92"/>
        <v>女</v>
      </c>
      <c r="E278" s="7" t="str">
        <f>"460007199803170427"</f>
        <v>460007199803170427</v>
      </c>
      <c r="F278" s="7" t="str">
        <f>"琼台师范学院"</f>
        <v>琼台师范学院</v>
      </c>
      <c r="G278" s="7" t="str">
        <f t="shared" si="115"/>
        <v>学前教育</v>
      </c>
      <c r="H278" s="7" t="str">
        <f t="shared" si="114"/>
        <v>专科</v>
      </c>
      <c r="I278" s="7" t="str">
        <f t="shared" si="105"/>
        <v>幼儿园教师资格</v>
      </c>
    </row>
    <row r="279" customHeight="1" spans="1:9">
      <c r="A279" s="6">
        <v>277</v>
      </c>
      <c r="B279" s="7" t="s">
        <v>12</v>
      </c>
      <c r="C279" s="8" t="str">
        <f>"符教联"</f>
        <v>符教联</v>
      </c>
      <c r="D279" s="8" t="str">
        <f t="shared" si="92"/>
        <v>女</v>
      </c>
      <c r="E279" s="7" t="str">
        <f>"469003199501237043"</f>
        <v>469003199501237043</v>
      </c>
      <c r="F279" s="7" t="str">
        <f>"湖北省十堰市汉江师范学院"</f>
        <v>湖北省十堰市汉江师范学院</v>
      </c>
      <c r="G279" s="7" t="str">
        <f t="shared" si="115"/>
        <v>学前教育</v>
      </c>
      <c r="H279" s="7" t="str">
        <f t="shared" si="114"/>
        <v>专科</v>
      </c>
      <c r="I279" s="7" t="str">
        <f t="shared" si="105"/>
        <v>幼儿园教师资格</v>
      </c>
    </row>
    <row r="280" customHeight="1" spans="1:9">
      <c r="A280" s="6">
        <v>278</v>
      </c>
      <c r="B280" s="7" t="s">
        <v>10</v>
      </c>
      <c r="C280" s="8" t="str">
        <f>"张超"</f>
        <v>张超</v>
      </c>
      <c r="D280" s="8" t="str">
        <f t="shared" si="92"/>
        <v>女</v>
      </c>
      <c r="E280" s="7" t="str">
        <f>"232723199702050124"</f>
        <v>232723199702050124</v>
      </c>
      <c r="F280" s="7" t="str">
        <f>"河北民族师范学院"</f>
        <v>河北民族师范学院</v>
      </c>
      <c r="G280" s="7" t="str">
        <f t="shared" si="115"/>
        <v>学前教育</v>
      </c>
      <c r="H280" s="7" t="str">
        <f t="shared" ref="H280:H285" si="116">"本科"</f>
        <v>本科</v>
      </c>
      <c r="I280" s="7" t="str">
        <f t="shared" si="105"/>
        <v>幼儿园教师资格</v>
      </c>
    </row>
    <row r="281" customHeight="1" spans="1:9">
      <c r="A281" s="6">
        <v>279</v>
      </c>
      <c r="B281" s="7" t="s">
        <v>12</v>
      </c>
      <c r="C281" s="8" t="str">
        <f>"林嘉慧"</f>
        <v>林嘉慧</v>
      </c>
      <c r="D281" s="8" t="str">
        <f t="shared" si="92"/>
        <v>女</v>
      </c>
      <c r="E281" s="7" t="str">
        <f>"460028199409140846"</f>
        <v>460028199409140846</v>
      </c>
      <c r="F281" s="7" t="str">
        <f>"海南热带海洋学院"</f>
        <v>海南热带海洋学院</v>
      </c>
      <c r="G281" s="7" t="str">
        <f t="shared" si="115"/>
        <v>学前教育</v>
      </c>
      <c r="H281" s="7" t="str">
        <f>"专科(高职)"</f>
        <v>专科(高职)</v>
      </c>
      <c r="I281" s="7" t="str">
        <f t="shared" si="105"/>
        <v>幼儿园教师资格</v>
      </c>
    </row>
    <row r="282" customHeight="1" spans="1:9">
      <c r="A282" s="6">
        <v>280</v>
      </c>
      <c r="B282" s="7" t="s">
        <v>10</v>
      </c>
      <c r="C282" s="8" t="str">
        <f>"谢桃玉"</f>
        <v>谢桃玉</v>
      </c>
      <c r="D282" s="8" t="str">
        <f t="shared" si="92"/>
        <v>女</v>
      </c>
      <c r="E282" s="7" t="str">
        <f>"460003199711142845"</f>
        <v>460003199711142845</v>
      </c>
      <c r="F282" s="7" t="str">
        <f>"海南热带海洋学院"</f>
        <v>海南热带海洋学院</v>
      </c>
      <c r="G282" s="7" t="str">
        <f t="shared" si="115"/>
        <v>学前教育</v>
      </c>
      <c r="H282" s="7" t="str">
        <f>"专科"</f>
        <v>专科</v>
      </c>
      <c r="I282" s="7" t="str">
        <f t="shared" si="105"/>
        <v>幼儿园教师资格</v>
      </c>
    </row>
    <row r="283" customHeight="1" spans="1:9">
      <c r="A283" s="6">
        <v>281</v>
      </c>
      <c r="B283" s="7" t="s">
        <v>10</v>
      </c>
      <c r="C283" s="8" t="str">
        <f>"叶海霏"</f>
        <v>叶海霏</v>
      </c>
      <c r="D283" s="8" t="str">
        <f t="shared" si="92"/>
        <v>女</v>
      </c>
      <c r="E283" s="7" t="str">
        <f>"460035199006183220"</f>
        <v>460035199006183220</v>
      </c>
      <c r="F283" s="7" t="str">
        <f>"琼台师范学院"</f>
        <v>琼台师范学院</v>
      </c>
      <c r="G283" s="7" t="str">
        <f t="shared" si="115"/>
        <v>学前教育</v>
      </c>
      <c r="H283" s="7" t="str">
        <f>"专科(高职)"</f>
        <v>专科(高职)</v>
      </c>
      <c r="I283" s="7" t="str">
        <f t="shared" si="105"/>
        <v>幼儿园教师资格</v>
      </c>
    </row>
    <row r="284" customHeight="1" spans="1:9">
      <c r="A284" s="6">
        <v>282</v>
      </c>
      <c r="B284" s="7" t="s">
        <v>10</v>
      </c>
      <c r="C284" s="8" t="str">
        <f>"吴育虹"</f>
        <v>吴育虹</v>
      </c>
      <c r="D284" s="8" t="str">
        <f t="shared" si="92"/>
        <v>女</v>
      </c>
      <c r="E284" s="7" t="str">
        <f>"46000619960420232X"</f>
        <v>46000619960420232X</v>
      </c>
      <c r="F284" s="7" t="str">
        <f>"梧州学院"</f>
        <v>梧州学院</v>
      </c>
      <c r="G284" s="7" t="str">
        <f t="shared" si="115"/>
        <v>学前教育</v>
      </c>
      <c r="H284" s="7" t="str">
        <f t="shared" si="116"/>
        <v>本科</v>
      </c>
      <c r="I284" s="7" t="str">
        <f t="shared" si="105"/>
        <v>幼儿园教师资格</v>
      </c>
    </row>
    <row r="285" customHeight="1" spans="1:9">
      <c r="A285" s="6">
        <v>283</v>
      </c>
      <c r="B285" s="7" t="s">
        <v>10</v>
      </c>
      <c r="C285" s="8" t="str">
        <f>"陈虹谕"</f>
        <v>陈虹谕</v>
      </c>
      <c r="D285" s="8" t="str">
        <f t="shared" si="92"/>
        <v>女</v>
      </c>
      <c r="E285" s="7" t="str">
        <f>"460002199708151824"</f>
        <v>460002199708151824</v>
      </c>
      <c r="F285" s="7" t="str">
        <f>"安顺学院"</f>
        <v>安顺学院</v>
      </c>
      <c r="G285" s="7" t="str">
        <f t="shared" si="115"/>
        <v>学前教育</v>
      </c>
      <c r="H285" s="7" t="str">
        <f t="shared" si="116"/>
        <v>本科</v>
      </c>
      <c r="I285" s="7" t="str">
        <f t="shared" si="105"/>
        <v>幼儿园教师资格</v>
      </c>
    </row>
    <row r="286" customHeight="1" spans="1:9">
      <c r="A286" s="6">
        <v>284</v>
      </c>
      <c r="B286" s="7" t="s">
        <v>11</v>
      </c>
      <c r="C286" s="8" t="str">
        <f>"梁少梅"</f>
        <v>梁少梅</v>
      </c>
      <c r="D286" s="8" t="str">
        <f t="shared" si="92"/>
        <v>女</v>
      </c>
      <c r="E286" s="7" t="str">
        <f>"460028199412083627"</f>
        <v>460028199412083627</v>
      </c>
      <c r="F286" s="7" t="str">
        <f>"琼台师范高等专科学校"</f>
        <v>琼台师范高等专科学校</v>
      </c>
      <c r="G286" s="7" t="str">
        <f>"学前教育专业"</f>
        <v>学前教育专业</v>
      </c>
      <c r="H286" s="7" t="str">
        <f t="shared" ref="H286:H293" si="117">"专科"</f>
        <v>专科</v>
      </c>
      <c r="I286" s="7" t="str">
        <f t="shared" si="105"/>
        <v>幼儿园教师资格</v>
      </c>
    </row>
    <row r="287" customHeight="1" spans="1:9">
      <c r="A287" s="6">
        <v>285</v>
      </c>
      <c r="B287" s="7" t="s">
        <v>10</v>
      </c>
      <c r="C287" s="8" t="str">
        <f>"邢士娟"</f>
        <v>邢士娟</v>
      </c>
      <c r="D287" s="8" t="str">
        <f t="shared" si="92"/>
        <v>女</v>
      </c>
      <c r="E287" s="7" t="str">
        <f>"46003119940404364X"</f>
        <v>46003119940404364X</v>
      </c>
      <c r="F287" s="7" t="str">
        <f>"海南师范大学"</f>
        <v>海南师范大学</v>
      </c>
      <c r="G287" s="7" t="str">
        <f t="shared" ref="G287:G292" si="118">"学前教育"</f>
        <v>学前教育</v>
      </c>
      <c r="H287" s="7" t="str">
        <f>"本科"</f>
        <v>本科</v>
      </c>
      <c r="I287" s="7" t="str">
        <f t="shared" si="105"/>
        <v>幼儿园教师资格</v>
      </c>
    </row>
    <row r="288" customHeight="1" spans="1:9">
      <c r="A288" s="6">
        <v>286</v>
      </c>
      <c r="B288" s="7" t="s">
        <v>12</v>
      </c>
      <c r="C288" s="8" t="str">
        <f>"王子欣"</f>
        <v>王子欣</v>
      </c>
      <c r="D288" s="8" t="str">
        <f t="shared" ref="D288:D350" si="119">"女"</f>
        <v>女</v>
      </c>
      <c r="E288" s="7" t="str">
        <f>"469023199710082629"</f>
        <v>469023199710082629</v>
      </c>
      <c r="F288" s="7" t="str">
        <f t="shared" ref="F288:F293" si="120">"琼台师范学院"</f>
        <v>琼台师范学院</v>
      </c>
      <c r="G288" s="7" t="str">
        <f t="shared" si="118"/>
        <v>学前教育</v>
      </c>
      <c r="H288" s="7" t="str">
        <f t="shared" si="117"/>
        <v>专科</v>
      </c>
      <c r="I288" s="7" t="str">
        <f t="shared" si="105"/>
        <v>幼儿园教师资格</v>
      </c>
    </row>
    <row r="289" customHeight="1" spans="1:9">
      <c r="A289" s="6">
        <v>287</v>
      </c>
      <c r="B289" s="7" t="s">
        <v>10</v>
      </c>
      <c r="C289" s="8" t="str">
        <f>"朱丽凤"</f>
        <v>朱丽凤</v>
      </c>
      <c r="D289" s="8" t="str">
        <f t="shared" si="119"/>
        <v>女</v>
      </c>
      <c r="E289" s="7" t="str">
        <f>"460103199412280629"</f>
        <v>460103199412280629</v>
      </c>
      <c r="F289" s="7" t="str">
        <f>"国家开放大学"</f>
        <v>国家开放大学</v>
      </c>
      <c r="G289" s="7" t="str">
        <f t="shared" si="118"/>
        <v>学前教育</v>
      </c>
      <c r="H289" s="7" t="str">
        <f>"本科"</f>
        <v>本科</v>
      </c>
      <c r="I289" s="7" t="str">
        <f t="shared" si="105"/>
        <v>幼儿园教师资格</v>
      </c>
    </row>
    <row r="290" customHeight="1" spans="1:9">
      <c r="A290" s="6">
        <v>288</v>
      </c>
      <c r="B290" s="7" t="s">
        <v>10</v>
      </c>
      <c r="C290" s="8" t="str">
        <f>"周娜伊"</f>
        <v>周娜伊</v>
      </c>
      <c r="D290" s="8" t="str">
        <f t="shared" si="119"/>
        <v>女</v>
      </c>
      <c r="E290" s="7" t="str">
        <f>"46003319980522388X"</f>
        <v>46003319980522388X</v>
      </c>
      <c r="F290" s="7" t="str">
        <f t="shared" si="120"/>
        <v>琼台师范学院</v>
      </c>
      <c r="G290" s="7" t="str">
        <f t="shared" si="118"/>
        <v>学前教育</v>
      </c>
      <c r="H290" s="7" t="str">
        <f t="shared" si="117"/>
        <v>专科</v>
      </c>
      <c r="I290" s="7" t="str">
        <f t="shared" si="105"/>
        <v>幼儿园教师资格</v>
      </c>
    </row>
    <row r="291" customHeight="1" spans="1:9">
      <c r="A291" s="6">
        <v>289</v>
      </c>
      <c r="B291" s="7" t="s">
        <v>11</v>
      </c>
      <c r="C291" s="8" t="str">
        <f>"卢彬晓"</f>
        <v>卢彬晓</v>
      </c>
      <c r="D291" s="8" t="str">
        <f t="shared" si="119"/>
        <v>女</v>
      </c>
      <c r="E291" s="7" t="str">
        <f>"440921199804122163"</f>
        <v>440921199804122163</v>
      </c>
      <c r="F291" s="7" t="str">
        <f t="shared" si="120"/>
        <v>琼台师范学院</v>
      </c>
      <c r="G291" s="7" t="str">
        <f t="shared" si="118"/>
        <v>学前教育</v>
      </c>
      <c r="H291" s="7" t="str">
        <f t="shared" si="117"/>
        <v>专科</v>
      </c>
      <c r="I291" s="7" t="str">
        <f t="shared" si="105"/>
        <v>幼儿园教师资格</v>
      </c>
    </row>
    <row r="292" customHeight="1" spans="1:9">
      <c r="A292" s="6">
        <v>290</v>
      </c>
      <c r="B292" s="7" t="s">
        <v>11</v>
      </c>
      <c r="C292" s="8" t="str">
        <f>"朱婷穗"</f>
        <v>朱婷穗</v>
      </c>
      <c r="D292" s="8" t="str">
        <f t="shared" si="119"/>
        <v>女</v>
      </c>
      <c r="E292" s="7" t="str">
        <f>"46002619970117002X"</f>
        <v>46002619970117002X</v>
      </c>
      <c r="F292" s="7" t="str">
        <f t="shared" si="120"/>
        <v>琼台师范学院</v>
      </c>
      <c r="G292" s="7" t="str">
        <f t="shared" si="118"/>
        <v>学前教育</v>
      </c>
      <c r="H292" s="7" t="str">
        <f t="shared" si="117"/>
        <v>专科</v>
      </c>
      <c r="I292" s="7" t="str">
        <f t="shared" si="105"/>
        <v>幼儿园教师资格</v>
      </c>
    </row>
    <row r="293" customHeight="1" spans="1:9">
      <c r="A293" s="6">
        <v>291</v>
      </c>
      <c r="B293" s="7" t="s">
        <v>10</v>
      </c>
      <c r="C293" s="8" t="str">
        <f>"王菊志"</f>
        <v>王菊志</v>
      </c>
      <c r="D293" s="8" t="str">
        <f t="shared" si="119"/>
        <v>女</v>
      </c>
      <c r="E293" s="7" t="str">
        <f>"460003199411182829"</f>
        <v>460003199411182829</v>
      </c>
      <c r="F293" s="7" t="str">
        <f t="shared" si="120"/>
        <v>琼台师范学院</v>
      </c>
      <c r="G293" s="7" t="str">
        <f>"学前教育（英语教育方向）"</f>
        <v>学前教育（英语教育方向）</v>
      </c>
      <c r="H293" s="7" t="str">
        <f t="shared" si="117"/>
        <v>专科</v>
      </c>
      <c r="I293" s="7" t="str">
        <f t="shared" si="105"/>
        <v>幼儿园教师资格</v>
      </c>
    </row>
    <row r="294" customHeight="1" spans="1:9">
      <c r="A294" s="6">
        <v>292</v>
      </c>
      <c r="B294" s="7" t="s">
        <v>10</v>
      </c>
      <c r="C294" s="8" t="str">
        <f>"许治坚"</f>
        <v>许治坚</v>
      </c>
      <c r="D294" s="8" t="str">
        <f t="shared" si="119"/>
        <v>女</v>
      </c>
      <c r="E294" s="7" t="str">
        <f>"460026199612190328"</f>
        <v>460026199612190328</v>
      </c>
      <c r="F294" s="7" t="str">
        <f>"安徽师范大学"</f>
        <v>安徽师范大学</v>
      </c>
      <c r="G294" s="7" t="str">
        <f t="shared" ref="G294:G297" si="121">"学前教育"</f>
        <v>学前教育</v>
      </c>
      <c r="H294" s="7" t="str">
        <f>"本科"</f>
        <v>本科</v>
      </c>
      <c r="I294" s="7" t="str">
        <f t="shared" si="105"/>
        <v>幼儿园教师资格</v>
      </c>
    </row>
    <row r="295" customHeight="1" spans="1:9">
      <c r="A295" s="6">
        <v>293</v>
      </c>
      <c r="B295" s="7" t="s">
        <v>10</v>
      </c>
      <c r="C295" s="8" t="str">
        <f>"吴小惠"</f>
        <v>吴小惠</v>
      </c>
      <c r="D295" s="8" t="str">
        <f t="shared" si="119"/>
        <v>女</v>
      </c>
      <c r="E295" s="7" t="str">
        <f>"460026199509230627"</f>
        <v>460026199509230627</v>
      </c>
      <c r="F295" s="7" t="str">
        <f>"萍乡学院"</f>
        <v>萍乡学院</v>
      </c>
      <c r="G295" s="7" t="str">
        <f t="shared" si="121"/>
        <v>学前教育</v>
      </c>
      <c r="H295" s="7" t="str">
        <f t="shared" ref="H295:H299" si="122">"专科"</f>
        <v>专科</v>
      </c>
      <c r="I295" s="7" t="str">
        <f t="shared" si="105"/>
        <v>幼儿园教师资格</v>
      </c>
    </row>
    <row r="296" customHeight="1" spans="1:9">
      <c r="A296" s="6">
        <v>294</v>
      </c>
      <c r="B296" s="7" t="s">
        <v>11</v>
      </c>
      <c r="C296" s="8" t="str">
        <f>"陈春燕"</f>
        <v>陈春燕</v>
      </c>
      <c r="D296" s="8" t="str">
        <f t="shared" si="119"/>
        <v>女</v>
      </c>
      <c r="E296" s="7" t="str">
        <f>"460003199411152865"</f>
        <v>460003199411152865</v>
      </c>
      <c r="F296" s="7" t="str">
        <f>"海南琼台师范高等专科学院"</f>
        <v>海南琼台师范高等专科学院</v>
      </c>
      <c r="G296" s="7" t="str">
        <f t="shared" si="121"/>
        <v>学前教育</v>
      </c>
      <c r="H296" s="12" t="s">
        <v>13</v>
      </c>
      <c r="I296" s="7" t="str">
        <f t="shared" si="105"/>
        <v>幼儿园教师资格</v>
      </c>
    </row>
    <row r="297" customHeight="1" spans="1:9">
      <c r="A297" s="6">
        <v>295</v>
      </c>
      <c r="B297" s="7" t="s">
        <v>10</v>
      </c>
      <c r="C297" s="8" t="str">
        <f>"朱春菊"</f>
        <v>朱春菊</v>
      </c>
      <c r="D297" s="8" t="str">
        <f t="shared" si="119"/>
        <v>女</v>
      </c>
      <c r="E297" s="7" t="str">
        <f>"469023199405221346"</f>
        <v>469023199405221346</v>
      </c>
      <c r="F297" s="7" t="str">
        <f t="shared" ref="F297:F299" si="123">"琼台师范学院"</f>
        <v>琼台师范学院</v>
      </c>
      <c r="G297" s="7" t="str">
        <f t="shared" si="121"/>
        <v>学前教育</v>
      </c>
      <c r="H297" s="7" t="str">
        <f t="shared" si="122"/>
        <v>专科</v>
      </c>
      <c r="I297" s="7" t="str">
        <f t="shared" si="105"/>
        <v>幼儿园教师资格</v>
      </c>
    </row>
    <row r="298" customHeight="1" spans="1:9">
      <c r="A298" s="6">
        <v>296</v>
      </c>
      <c r="B298" s="7" t="s">
        <v>11</v>
      </c>
      <c r="C298" s="8" t="str">
        <f>"陈杏"</f>
        <v>陈杏</v>
      </c>
      <c r="D298" s="8" t="str">
        <f t="shared" si="119"/>
        <v>女</v>
      </c>
      <c r="E298" s="7" t="str">
        <f>"469005199601071522"</f>
        <v>469005199601071522</v>
      </c>
      <c r="F298" s="7" t="str">
        <f t="shared" si="123"/>
        <v>琼台师范学院</v>
      </c>
      <c r="G298" s="7" t="str">
        <f>"学前教育(英语方向）"</f>
        <v>学前教育(英语方向）</v>
      </c>
      <c r="H298" s="7" t="str">
        <f t="shared" si="122"/>
        <v>专科</v>
      </c>
      <c r="I298" s="7" t="str">
        <f t="shared" si="105"/>
        <v>幼儿园教师资格</v>
      </c>
    </row>
    <row r="299" customHeight="1" spans="1:9">
      <c r="A299" s="6">
        <v>297</v>
      </c>
      <c r="B299" s="7" t="s">
        <v>10</v>
      </c>
      <c r="C299" s="8" t="str">
        <f>"朱万联"</f>
        <v>朱万联</v>
      </c>
      <c r="D299" s="8" t="str">
        <f t="shared" si="119"/>
        <v>女</v>
      </c>
      <c r="E299" s="7" t="str">
        <f>"469003199501195322"</f>
        <v>469003199501195322</v>
      </c>
      <c r="F299" s="7" t="str">
        <f t="shared" si="123"/>
        <v>琼台师范学院</v>
      </c>
      <c r="G299" s="7" t="str">
        <f t="shared" ref="G299:G303" si="124">"学前教育"</f>
        <v>学前教育</v>
      </c>
      <c r="H299" s="7" t="str">
        <f t="shared" si="122"/>
        <v>专科</v>
      </c>
      <c r="I299" s="7" t="str">
        <f t="shared" si="105"/>
        <v>幼儿园教师资格</v>
      </c>
    </row>
    <row r="300" customHeight="1" spans="1:9">
      <c r="A300" s="6">
        <v>298</v>
      </c>
      <c r="B300" s="7" t="s">
        <v>10</v>
      </c>
      <c r="C300" s="8" t="str">
        <f>"郑新瑾"</f>
        <v>郑新瑾</v>
      </c>
      <c r="D300" s="8" t="str">
        <f t="shared" si="119"/>
        <v>女</v>
      </c>
      <c r="E300" s="7" t="str">
        <f>"460003199805164666"</f>
        <v>460003199805164666</v>
      </c>
      <c r="F300" s="7" t="str">
        <f>"商丘学院"</f>
        <v>商丘学院</v>
      </c>
      <c r="G300" s="7" t="str">
        <f t="shared" si="124"/>
        <v>学前教育</v>
      </c>
      <c r="H300" s="7" t="str">
        <f>"本科"</f>
        <v>本科</v>
      </c>
      <c r="I300" s="7" t="str">
        <f t="shared" si="105"/>
        <v>幼儿园教师资格</v>
      </c>
    </row>
    <row r="301" customHeight="1" spans="1:9">
      <c r="A301" s="6">
        <v>299</v>
      </c>
      <c r="B301" s="7" t="s">
        <v>11</v>
      </c>
      <c r="C301" s="8" t="str">
        <f>"林逢雨"</f>
        <v>林逢雨</v>
      </c>
      <c r="D301" s="8" t="str">
        <f t="shared" si="119"/>
        <v>女</v>
      </c>
      <c r="E301" s="7" t="str">
        <f>"460004199803240027"</f>
        <v>460004199803240027</v>
      </c>
      <c r="F301" s="7" t="str">
        <f>"琼台师范学院"</f>
        <v>琼台师范学院</v>
      </c>
      <c r="G301" s="7" t="str">
        <f t="shared" si="124"/>
        <v>学前教育</v>
      </c>
      <c r="H301" s="7" t="str">
        <f t="shared" ref="H301:H303" si="125">"专科"</f>
        <v>专科</v>
      </c>
      <c r="I301" s="7" t="str">
        <f t="shared" si="105"/>
        <v>幼儿园教师资格</v>
      </c>
    </row>
    <row r="302" customHeight="1" spans="1:9">
      <c r="A302" s="6">
        <v>300</v>
      </c>
      <c r="B302" s="7" t="s">
        <v>10</v>
      </c>
      <c r="C302" s="8" t="str">
        <f>"陈泰慧"</f>
        <v>陈泰慧</v>
      </c>
      <c r="D302" s="8" t="str">
        <f t="shared" si="119"/>
        <v>女</v>
      </c>
      <c r="E302" s="7" t="str">
        <f>"460007199211186169"</f>
        <v>460007199211186169</v>
      </c>
      <c r="F302" s="7" t="str">
        <f>"海南热带海洋学院"</f>
        <v>海南热带海洋学院</v>
      </c>
      <c r="G302" s="7" t="str">
        <f t="shared" si="124"/>
        <v>学前教育</v>
      </c>
      <c r="H302" s="7" t="str">
        <f t="shared" si="125"/>
        <v>专科</v>
      </c>
      <c r="I302" s="7" t="str">
        <f t="shared" si="105"/>
        <v>幼儿园教师资格</v>
      </c>
    </row>
    <row r="303" customHeight="1" spans="1:9">
      <c r="A303" s="6">
        <v>301</v>
      </c>
      <c r="B303" s="7" t="s">
        <v>10</v>
      </c>
      <c r="C303" s="8" t="str">
        <f>"陈玉玲"</f>
        <v>陈玉玲</v>
      </c>
      <c r="D303" s="8" t="str">
        <f t="shared" si="119"/>
        <v>女</v>
      </c>
      <c r="E303" s="7" t="str">
        <f>"460003199010100044"</f>
        <v>460003199010100044</v>
      </c>
      <c r="F303" s="7" t="str">
        <f>"中央广播电视大学"</f>
        <v>中央广播电视大学</v>
      </c>
      <c r="G303" s="7" t="str">
        <f t="shared" si="124"/>
        <v>学前教育</v>
      </c>
      <c r="H303" s="7" t="str">
        <f t="shared" si="125"/>
        <v>专科</v>
      </c>
      <c r="I303" s="7" t="str">
        <f t="shared" si="105"/>
        <v>幼儿园教师资格</v>
      </c>
    </row>
    <row r="304" customHeight="1" spans="1:9">
      <c r="A304" s="6">
        <v>302</v>
      </c>
      <c r="B304" s="7" t="s">
        <v>12</v>
      </c>
      <c r="C304" s="8" t="str">
        <f>"吉家霞"</f>
        <v>吉家霞</v>
      </c>
      <c r="D304" s="8" t="str">
        <f t="shared" si="119"/>
        <v>女</v>
      </c>
      <c r="E304" s="7" t="str">
        <f>"460007199508204364"</f>
        <v>460007199508204364</v>
      </c>
      <c r="F304" s="7" t="str">
        <f>"海南师范大学"</f>
        <v>海南师范大学</v>
      </c>
      <c r="G304" s="7" t="str">
        <f>"学前教育专业"</f>
        <v>学前教育专业</v>
      </c>
      <c r="H304" s="7" t="str">
        <f t="shared" ref="H304:H307" si="126">"本科"</f>
        <v>本科</v>
      </c>
      <c r="I304" s="7" t="str">
        <f t="shared" si="105"/>
        <v>幼儿园教师资格</v>
      </c>
    </row>
    <row r="305" customHeight="1" spans="1:9">
      <c r="A305" s="6">
        <v>303</v>
      </c>
      <c r="B305" s="7" t="s">
        <v>10</v>
      </c>
      <c r="C305" s="8" t="str">
        <f>"龙桂妃"</f>
        <v>龙桂妃</v>
      </c>
      <c r="D305" s="8" t="str">
        <f t="shared" si="119"/>
        <v>女</v>
      </c>
      <c r="E305" s="7" t="str">
        <f>"460034199604150449"</f>
        <v>460034199604150449</v>
      </c>
      <c r="F305" s="7" t="str">
        <f>"海南热带海洋学院"</f>
        <v>海南热带海洋学院</v>
      </c>
      <c r="G305" s="7" t="str">
        <f t="shared" ref="G305:G309" si="127">"学前教育"</f>
        <v>学前教育</v>
      </c>
      <c r="H305" s="7" t="str">
        <f t="shared" ref="H305:H314" si="128">"专科"</f>
        <v>专科</v>
      </c>
      <c r="I305" s="7" t="str">
        <f t="shared" si="105"/>
        <v>幼儿园教师资格</v>
      </c>
    </row>
    <row r="306" customHeight="1" spans="1:9">
      <c r="A306" s="6">
        <v>304</v>
      </c>
      <c r="B306" s="7" t="s">
        <v>12</v>
      </c>
      <c r="C306" s="8" t="str">
        <f>"符少丹"</f>
        <v>符少丹</v>
      </c>
      <c r="D306" s="8" t="str">
        <f t="shared" si="119"/>
        <v>女</v>
      </c>
      <c r="E306" s="7" t="str">
        <f>"469024199510112025"</f>
        <v>469024199510112025</v>
      </c>
      <c r="F306" s="7" t="str">
        <f>"忻州师范学院"</f>
        <v>忻州师范学院</v>
      </c>
      <c r="G306" s="7" t="str">
        <f t="shared" si="127"/>
        <v>学前教育</v>
      </c>
      <c r="H306" s="7" t="str">
        <f t="shared" si="126"/>
        <v>本科</v>
      </c>
      <c r="I306" s="7" t="str">
        <f t="shared" si="105"/>
        <v>幼儿园教师资格</v>
      </c>
    </row>
    <row r="307" customHeight="1" spans="1:9">
      <c r="A307" s="6">
        <v>305</v>
      </c>
      <c r="B307" s="7" t="s">
        <v>11</v>
      </c>
      <c r="C307" s="8" t="str">
        <f>"郭石晶"</f>
        <v>郭石晶</v>
      </c>
      <c r="D307" s="8" t="str">
        <f t="shared" si="119"/>
        <v>女</v>
      </c>
      <c r="E307" s="7" t="str">
        <f>"460003199603206223"</f>
        <v>460003199603206223</v>
      </c>
      <c r="F307" s="7" t="str">
        <f>"海南师范大学"</f>
        <v>海南师范大学</v>
      </c>
      <c r="G307" s="7" t="str">
        <f t="shared" si="127"/>
        <v>学前教育</v>
      </c>
      <c r="H307" s="7" t="str">
        <f t="shared" si="126"/>
        <v>本科</v>
      </c>
      <c r="I307" s="7" t="str">
        <f t="shared" si="105"/>
        <v>幼儿园教师资格</v>
      </c>
    </row>
    <row r="308" customHeight="1" spans="1:9">
      <c r="A308" s="6">
        <v>306</v>
      </c>
      <c r="B308" s="7" t="s">
        <v>10</v>
      </c>
      <c r="C308" s="8" t="str">
        <f>"王燕玉"</f>
        <v>王燕玉</v>
      </c>
      <c r="D308" s="8" t="str">
        <f t="shared" si="119"/>
        <v>女</v>
      </c>
      <c r="E308" s="7" t="str">
        <f>"460006199302172321"</f>
        <v>460006199302172321</v>
      </c>
      <c r="F308" s="7" t="str">
        <f>"琼台师范高等专科学校"</f>
        <v>琼台师范高等专科学校</v>
      </c>
      <c r="G308" s="7" t="str">
        <f t="shared" si="127"/>
        <v>学前教育</v>
      </c>
      <c r="H308" s="7" t="str">
        <f t="shared" si="128"/>
        <v>专科</v>
      </c>
      <c r="I308" s="7" t="str">
        <f t="shared" si="105"/>
        <v>幼儿园教师资格</v>
      </c>
    </row>
    <row r="309" customHeight="1" spans="1:9">
      <c r="A309" s="6">
        <v>307</v>
      </c>
      <c r="B309" s="7" t="s">
        <v>12</v>
      </c>
      <c r="C309" s="8" t="str">
        <f>"李颖"</f>
        <v>李颖</v>
      </c>
      <c r="D309" s="8" t="str">
        <f t="shared" si="119"/>
        <v>女</v>
      </c>
      <c r="E309" s="7" t="str">
        <f>"460004200002034448"</f>
        <v>460004200002034448</v>
      </c>
      <c r="F309" s="7" t="str">
        <f t="shared" ref="F309:F311" si="129">"琼台师范学院"</f>
        <v>琼台师范学院</v>
      </c>
      <c r="G309" s="7" t="str">
        <f t="shared" si="127"/>
        <v>学前教育</v>
      </c>
      <c r="H309" s="7" t="str">
        <f>"专科(高职)"</f>
        <v>专科(高职)</v>
      </c>
      <c r="I309" s="7" t="str">
        <f t="shared" si="105"/>
        <v>幼儿园教师资格</v>
      </c>
    </row>
    <row r="310" customHeight="1" spans="1:9">
      <c r="A310" s="6">
        <v>308</v>
      </c>
      <c r="B310" s="7" t="s">
        <v>11</v>
      </c>
      <c r="C310" s="8" t="str">
        <f>" 王丽惠"</f>
        <v> 王丽惠</v>
      </c>
      <c r="D310" s="8" t="str">
        <f t="shared" si="119"/>
        <v>女</v>
      </c>
      <c r="E310" s="7" t="str">
        <f>"460026199603250042"</f>
        <v>460026199603250042</v>
      </c>
      <c r="F310" s="7" t="str">
        <f t="shared" si="129"/>
        <v>琼台师范学院</v>
      </c>
      <c r="G310" s="7" t="str">
        <f>"学前教育（英语教育方向）"</f>
        <v>学前教育（英语教育方向）</v>
      </c>
      <c r="H310" s="7" t="str">
        <f t="shared" si="128"/>
        <v>专科</v>
      </c>
      <c r="I310" s="7" t="str">
        <f t="shared" si="105"/>
        <v>幼儿园教师资格</v>
      </c>
    </row>
    <row r="311" customHeight="1" spans="1:9">
      <c r="A311" s="6">
        <v>309</v>
      </c>
      <c r="B311" s="7" t="s">
        <v>10</v>
      </c>
      <c r="C311" s="8" t="str">
        <f>"杨裕惠"</f>
        <v>杨裕惠</v>
      </c>
      <c r="D311" s="8" t="str">
        <f t="shared" si="119"/>
        <v>女</v>
      </c>
      <c r="E311" s="7" t="str">
        <f>"460003199704192422"</f>
        <v>460003199704192422</v>
      </c>
      <c r="F311" s="7" t="str">
        <f t="shared" si="129"/>
        <v>琼台师范学院</v>
      </c>
      <c r="G311" s="7" t="str">
        <f t="shared" ref="G311:G315" si="130">"学前教育"</f>
        <v>学前教育</v>
      </c>
      <c r="H311" s="7" t="str">
        <f t="shared" si="128"/>
        <v>专科</v>
      </c>
      <c r="I311" s="7" t="str">
        <f t="shared" si="105"/>
        <v>幼儿园教师资格</v>
      </c>
    </row>
    <row r="312" customHeight="1" spans="1:9">
      <c r="A312" s="6">
        <v>310</v>
      </c>
      <c r="B312" s="7" t="s">
        <v>10</v>
      </c>
      <c r="C312" s="8" t="str">
        <f>"陈诗琴"</f>
        <v>陈诗琴</v>
      </c>
      <c r="D312" s="8" t="str">
        <f t="shared" si="119"/>
        <v>女</v>
      </c>
      <c r="E312" s="7" t="str">
        <f>"460028199409260848"</f>
        <v>460028199409260848</v>
      </c>
      <c r="F312" s="7" t="str">
        <f>"琼台师范高等专科学校"</f>
        <v>琼台师范高等专科学校</v>
      </c>
      <c r="G312" s="7" t="str">
        <f t="shared" si="130"/>
        <v>学前教育</v>
      </c>
      <c r="H312" s="7" t="str">
        <f t="shared" si="128"/>
        <v>专科</v>
      </c>
      <c r="I312" s="7" t="str">
        <f t="shared" si="105"/>
        <v>幼儿园教师资格</v>
      </c>
    </row>
    <row r="313" customHeight="1" spans="1:9">
      <c r="A313" s="6">
        <v>311</v>
      </c>
      <c r="B313" s="7" t="s">
        <v>10</v>
      </c>
      <c r="C313" s="8" t="str">
        <f>"张振丹"</f>
        <v>张振丹</v>
      </c>
      <c r="D313" s="8" t="str">
        <f t="shared" si="119"/>
        <v>女</v>
      </c>
      <c r="E313" s="7" t="str">
        <f>"460003199506172228"</f>
        <v>460003199506172228</v>
      </c>
      <c r="F313" s="7" t="str">
        <f>"湖北职业技术学院"</f>
        <v>湖北职业技术学院</v>
      </c>
      <c r="G313" s="7" t="str">
        <f>"学前教育专业"</f>
        <v>学前教育专业</v>
      </c>
      <c r="H313" s="7" t="str">
        <f t="shared" si="128"/>
        <v>专科</v>
      </c>
      <c r="I313" s="7" t="str">
        <f t="shared" si="105"/>
        <v>幼儿园教师资格</v>
      </c>
    </row>
    <row r="314" customHeight="1" spans="1:9">
      <c r="A314" s="6">
        <v>312</v>
      </c>
      <c r="B314" s="7" t="s">
        <v>10</v>
      </c>
      <c r="C314" s="8" t="str">
        <f>"符丽萍"</f>
        <v>符丽萍</v>
      </c>
      <c r="D314" s="8" t="str">
        <f t="shared" si="119"/>
        <v>女</v>
      </c>
      <c r="E314" s="7" t="str">
        <f>"460031199605046425"</f>
        <v>460031199605046425</v>
      </c>
      <c r="F314" s="7" t="str">
        <f>"琼台师范学院"</f>
        <v>琼台师范学院</v>
      </c>
      <c r="G314" s="7" t="str">
        <f t="shared" si="130"/>
        <v>学前教育</v>
      </c>
      <c r="H314" s="7" t="str">
        <f t="shared" si="128"/>
        <v>专科</v>
      </c>
      <c r="I314" s="7" t="str">
        <f t="shared" si="105"/>
        <v>幼儿园教师资格</v>
      </c>
    </row>
    <row r="315" customHeight="1" spans="1:9">
      <c r="A315" s="6">
        <v>313</v>
      </c>
      <c r="B315" s="7" t="s">
        <v>10</v>
      </c>
      <c r="C315" s="8" t="str">
        <f>"钟晓妹"</f>
        <v>钟晓妹</v>
      </c>
      <c r="D315" s="8" t="str">
        <f t="shared" si="119"/>
        <v>女</v>
      </c>
      <c r="E315" s="7" t="str">
        <f>"469024199505066028"</f>
        <v>469024199505066028</v>
      </c>
      <c r="F315" s="7" t="str">
        <f>"湖南第一师范学院"</f>
        <v>湖南第一师范学院</v>
      </c>
      <c r="G315" s="7" t="str">
        <f t="shared" si="130"/>
        <v>学前教育</v>
      </c>
      <c r="H315" s="7" t="str">
        <f>"本科"</f>
        <v>本科</v>
      </c>
      <c r="I315" s="7" t="str">
        <f t="shared" si="105"/>
        <v>幼儿园教师资格</v>
      </c>
    </row>
    <row r="316" customHeight="1" spans="1:9">
      <c r="A316" s="6">
        <v>314</v>
      </c>
      <c r="B316" s="7" t="s">
        <v>11</v>
      </c>
      <c r="C316" s="8" t="str">
        <f>"符连英"</f>
        <v>符连英</v>
      </c>
      <c r="D316" s="8" t="str">
        <f t="shared" si="119"/>
        <v>女</v>
      </c>
      <c r="E316" s="7" t="str">
        <f>"46900319940107702X"</f>
        <v>46900319940107702X</v>
      </c>
      <c r="F316" s="7" t="str">
        <f>"海南热带海洋学院"</f>
        <v>海南热带海洋学院</v>
      </c>
      <c r="G316" s="7" t="str">
        <f>"学前教育（师范）专业"</f>
        <v>学前教育（师范）专业</v>
      </c>
      <c r="H316" s="7" t="str">
        <f t="shared" ref="H316:H320" si="131">"专科"</f>
        <v>专科</v>
      </c>
      <c r="I316" s="7" t="str">
        <f t="shared" si="105"/>
        <v>幼儿园教师资格</v>
      </c>
    </row>
    <row r="317" customHeight="1" spans="1:9">
      <c r="A317" s="6">
        <v>315</v>
      </c>
      <c r="B317" s="7" t="s">
        <v>11</v>
      </c>
      <c r="C317" s="8" t="str">
        <f>"张云玉"</f>
        <v>张云玉</v>
      </c>
      <c r="D317" s="8" t="str">
        <f t="shared" si="119"/>
        <v>女</v>
      </c>
      <c r="E317" s="7" t="str">
        <f>"460007199507207221"</f>
        <v>460007199507207221</v>
      </c>
      <c r="F317" s="7" t="str">
        <f>"海南热带海洋学院"</f>
        <v>海南热带海洋学院</v>
      </c>
      <c r="G317" s="7" t="str">
        <f t="shared" ref="G317:G319" si="132">"学前教育"</f>
        <v>学前教育</v>
      </c>
      <c r="H317" s="7" t="str">
        <f t="shared" si="131"/>
        <v>专科</v>
      </c>
      <c r="I317" s="7" t="str">
        <f t="shared" si="105"/>
        <v>幼儿园教师资格</v>
      </c>
    </row>
    <row r="318" customHeight="1" spans="1:9">
      <c r="A318" s="6">
        <v>316</v>
      </c>
      <c r="B318" s="7" t="s">
        <v>11</v>
      </c>
      <c r="C318" s="8" t="str">
        <f>"符珊华"</f>
        <v>符珊华</v>
      </c>
      <c r="D318" s="8" t="str">
        <f t="shared" si="119"/>
        <v>女</v>
      </c>
      <c r="E318" s="7" t="str">
        <f>"46000319930318662X"</f>
        <v>46000319930318662X</v>
      </c>
      <c r="F318" s="7" t="str">
        <f>"海南师范大学"</f>
        <v>海南师范大学</v>
      </c>
      <c r="G318" s="7" t="str">
        <f t="shared" si="132"/>
        <v>学前教育</v>
      </c>
      <c r="H318" s="7" t="str">
        <f t="shared" ref="H318:H322" si="133">"本科"</f>
        <v>本科</v>
      </c>
      <c r="I318" s="7" t="str">
        <f t="shared" si="105"/>
        <v>幼儿园教师资格</v>
      </c>
    </row>
    <row r="319" customHeight="1" spans="1:9">
      <c r="A319" s="6">
        <v>317</v>
      </c>
      <c r="B319" s="7" t="s">
        <v>10</v>
      </c>
      <c r="C319" s="8" t="str">
        <f>"刘馨蔓"</f>
        <v>刘馨蔓</v>
      </c>
      <c r="D319" s="8" t="str">
        <f t="shared" si="119"/>
        <v>女</v>
      </c>
      <c r="E319" s="7" t="str">
        <f>"460102199709032427"</f>
        <v>460102199709032427</v>
      </c>
      <c r="F319" s="7" t="str">
        <f>"琼台师范学院"</f>
        <v>琼台师范学院</v>
      </c>
      <c r="G319" s="7" t="str">
        <f t="shared" si="132"/>
        <v>学前教育</v>
      </c>
      <c r="H319" s="7" t="str">
        <f t="shared" si="131"/>
        <v>专科</v>
      </c>
      <c r="I319" s="7" t="str">
        <f t="shared" si="105"/>
        <v>幼儿园教师资格</v>
      </c>
    </row>
    <row r="320" customHeight="1" spans="1:9">
      <c r="A320" s="6">
        <v>318</v>
      </c>
      <c r="B320" s="7" t="s">
        <v>11</v>
      </c>
      <c r="C320" s="8" t="str">
        <f>"许欢欢"</f>
        <v>许欢欢</v>
      </c>
      <c r="D320" s="8" t="str">
        <f t="shared" si="119"/>
        <v>女</v>
      </c>
      <c r="E320" s="7" t="str">
        <f>"460028199603300823"</f>
        <v>460028199603300823</v>
      </c>
      <c r="F320" s="7" t="str">
        <f>"琼台师范学院"</f>
        <v>琼台师范学院</v>
      </c>
      <c r="G320" s="7" t="str">
        <f>"学前教育（英语教育方向）"</f>
        <v>学前教育（英语教育方向）</v>
      </c>
      <c r="H320" s="7" t="str">
        <f t="shared" si="131"/>
        <v>专科</v>
      </c>
      <c r="I320" s="7" t="str">
        <f t="shared" si="105"/>
        <v>幼儿园教师资格</v>
      </c>
    </row>
    <row r="321" customHeight="1" spans="1:9">
      <c r="A321" s="6">
        <v>319</v>
      </c>
      <c r="B321" s="7" t="s">
        <v>10</v>
      </c>
      <c r="C321" s="8" t="str">
        <f>"柯茹蕊"</f>
        <v>柯茹蕊</v>
      </c>
      <c r="D321" s="8" t="str">
        <f t="shared" si="119"/>
        <v>女</v>
      </c>
      <c r="E321" s="7" t="str">
        <f>"460102199512230323"</f>
        <v>460102199512230323</v>
      </c>
      <c r="F321" s="7" t="str">
        <f>"忻州师范学院"</f>
        <v>忻州师范学院</v>
      </c>
      <c r="G321" s="7" t="str">
        <f t="shared" ref="G321:G332" si="134">"学前教育"</f>
        <v>学前教育</v>
      </c>
      <c r="H321" s="7" t="str">
        <f t="shared" si="133"/>
        <v>本科</v>
      </c>
      <c r="I321" s="7" t="str">
        <f t="shared" si="105"/>
        <v>幼儿园教师资格</v>
      </c>
    </row>
    <row r="322" customHeight="1" spans="1:9">
      <c r="A322" s="6">
        <v>320</v>
      </c>
      <c r="B322" s="7" t="s">
        <v>12</v>
      </c>
      <c r="C322" s="8" t="str">
        <f>"唐春霞"</f>
        <v>唐春霞</v>
      </c>
      <c r="D322" s="8" t="str">
        <f t="shared" si="119"/>
        <v>女</v>
      </c>
      <c r="E322" s="7" t="str">
        <f>"460006199002134024"</f>
        <v>460006199002134024</v>
      </c>
      <c r="F322" s="7" t="str">
        <f>"海南广播电视大学"</f>
        <v>海南广播电视大学</v>
      </c>
      <c r="G322" s="7" t="str">
        <f>"学前专业"</f>
        <v>学前专业</v>
      </c>
      <c r="H322" s="7" t="str">
        <f t="shared" si="133"/>
        <v>本科</v>
      </c>
      <c r="I322" s="7" t="str">
        <f t="shared" ref="I322:I385" si="135">"幼儿园教师资格"</f>
        <v>幼儿园教师资格</v>
      </c>
    </row>
    <row r="323" customHeight="1" spans="1:9">
      <c r="A323" s="6">
        <v>321</v>
      </c>
      <c r="B323" s="7" t="s">
        <v>10</v>
      </c>
      <c r="C323" s="8" t="str">
        <f>"刘艺婷"</f>
        <v>刘艺婷</v>
      </c>
      <c r="D323" s="8" t="str">
        <f t="shared" si="119"/>
        <v>女</v>
      </c>
      <c r="E323" s="7" t="str">
        <f>"469003199305174129"</f>
        <v>469003199305174129</v>
      </c>
      <c r="F323" s="7" t="str">
        <f>"海南师范大学"</f>
        <v>海南师范大学</v>
      </c>
      <c r="G323" s="7" t="str">
        <f t="shared" si="134"/>
        <v>学前教育</v>
      </c>
      <c r="H323" s="7" t="str">
        <f t="shared" ref="H323:H327" si="136">"专科"</f>
        <v>专科</v>
      </c>
      <c r="I323" s="7" t="str">
        <f t="shared" si="135"/>
        <v>幼儿园教师资格</v>
      </c>
    </row>
    <row r="324" customHeight="1" spans="1:9">
      <c r="A324" s="6">
        <v>322</v>
      </c>
      <c r="B324" s="7" t="s">
        <v>12</v>
      </c>
      <c r="C324" s="8" t="str">
        <f>"李婷燕"</f>
        <v>李婷燕</v>
      </c>
      <c r="D324" s="8" t="str">
        <f t="shared" si="119"/>
        <v>女</v>
      </c>
      <c r="E324" s="7" t="str">
        <f>"460003199407310429"</f>
        <v>460003199407310429</v>
      </c>
      <c r="F324" s="7" t="str">
        <f>"琼台师范高等专科学校"</f>
        <v>琼台师范高等专科学校</v>
      </c>
      <c r="G324" s="7" t="str">
        <f t="shared" si="134"/>
        <v>学前教育</v>
      </c>
      <c r="H324" s="7" t="str">
        <f t="shared" si="136"/>
        <v>专科</v>
      </c>
      <c r="I324" s="7" t="str">
        <f t="shared" si="135"/>
        <v>幼儿园教师资格</v>
      </c>
    </row>
    <row r="325" customHeight="1" spans="1:9">
      <c r="A325" s="6">
        <v>323</v>
      </c>
      <c r="B325" s="7" t="s">
        <v>10</v>
      </c>
      <c r="C325" s="8" t="str">
        <f>"钟昌苹"</f>
        <v>钟昌苹</v>
      </c>
      <c r="D325" s="8" t="str">
        <f t="shared" si="119"/>
        <v>女</v>
      </c>
      <c r="E325" s="7" t="str">
        <f>"460031199506125646"</f>
        <v>460031199506125646</v>
      </c>
      <c r="F325" s="7" t="str">
        <f t="shared" ref="F325:F327" si="137">"琼台师范学院"</f>
        <v>琼台师范学院</v>
      </c>
      <c r="G325" s="7" t="str">
        <f t="shared" si="134"/>
        <v>学前教育</v>
      </c>
      <c r="H325" s="7" t="str">
        <f t="shared" si="136"/>
        <v>专科</v>
      </c>
      <c r="I325" s="7" t="str">
        <f t="shared" si="135"/>
        <v>幼儿园教师资格</v>
      </c>
    </row>
    <row r="326" customHeight="1" spans="1:9">
      <c r="A326" s="6">
        <v>324</v>
      </c>
      <c r="B326" s="7" t="s">
        <v>12</v>
      </c>
      <c r="C326" s="8" t="str">
        <f>"陈春晓"</f>
        <v>陈春晓</v>
      </c>
      <c r="D326" s="8" t="str">
        <f t="shared" si="119"/>
        <v>女</v>
      </c>
      <c r="E326" s="7" t="str">
        <f>"460103199502043627"</f>
        <v>460103199502043627</v>
      </c>
      <c r="F326" s="7" t="str">
        <f t="shared" si="137"/>
        <v>琼台师范学院</v>
      </c>
      <c r="G326" s="7" t="str">
        <f t="shared" si="134"/>
        <v>学前教育</v>
      </c>
      <c r="H326" s="7" t="str">
        <f t="shared" si="136"/>
        <v>专科</v>
      </c>
      <c r="I326" s="7" t="str">
        <f t="shared" si="135"/>
        <v>幼儿园教师资格</v>
      </c>
    </row>
    <row r="327" customHeight="1" spans="1:9">
      <c r="A327" s="6">
        <v>325</v>
      </c>
      <c r="B327" s="7" t="s">
        <v>12</v>
      </c>
      <c r="C327" s="8" t="str">
        <f>"林静"</f>
        <v>林静</v>
      </c>
      <c r="D327" s="8" t="str">
        <f t="shared" si="119"/>
        <v>女</v>
      </c>
      <c r="E327" s="7" t="str">
        <f>"460006199709055928"</f>
        <v>460006199709055928</v>
      </c>
      <c r="F327" s="7" t="str">
        <f t="shared" si="137"/>
        <v>琼台师范学院</v>
      </c>
      <c r="G327" s="7" t="str">
        <f t="shared" si="134"/>
        <v>学前教育</v>
      </c>
      <c r="H327" s="7" t="str">
        <f t="shared" si="136"/>
        <v>专科</v>
      </c>
      <c r="I327" s="7" t="str">
        <f t="shared" si="135"/>
        <v>幼儿园教师资格</v>
      </c>
    </row>
    <row r="328" customHeight="1" spans="1:9">
      <c r="A328" s="6">
        <v>326</v>
      </c>
      <c r="B328" s="7" t="s">
        <v>10</v>
      </c>
      <c r="C328" s="8" t="str">
        <f>"梅欣欣"</f>
        <v>梅欣欣</v>
      </c>
      <c r="D328" s="8" t="str">
        <f t="shared" si="119"/>
        <v>女</v>
      </c>
      <c r="E328" s="7" t="str">
        <f>"460006198910250624"</f>
        <v>460006198910250624</v>
      </c>
      <c r="F328" s="7" t="str">
        <f>"海南师范大学"</f>
        <v>海南师范大学</v>
      </c>
      <c r="G328" s="7" t="str">
        <f t="shared" si="134"/>
        <v>学前教育</v>
      </c>
      <c r="H328" s="7" t="str">
        <f>"本科"</f>
        <v>本科</v>
      </c>
      <c r="I328" s="7" t="str">
        <f t="shared" si="135"/>
        <v>幼儿园教师资格</v>
      </c>
    </row>
    <row r="329" customHeight="1" spans="1:9">
      <c r="A329" s="6">
        <v>327</v>
      </c>
      <c r="B329" s="7" t="s">
        <v>12</v>
      </c>
      <c r="C329" s="8" t="str">
        <f>"符仙"</f>
        <v>符仙</v>
      </c>
      <c r="D329" s="8" t="str">
        <f t="shared" si="119"/>
        <v>女</v>
      </c>
      <c r="E329" s="7" t="str">
        <f>"460022199510164326"</f>
        <v>460022199510164326</v>
      </c>
      <c r="F329" s="7" t="str">
        <f>"琼台师范学院"</f>
        <v>琼台师范学院</v>
      </c>
      <c r="G329" s="7" t="str">
        <f t="shared" si="134"/>
        <v>学前教育</v>
      </c>
      <c r="H329" s="7" t="str">
        <f t="shared" ref="H329:H331" si="138">"专科"</f>
        <v>专科</v>
      </c>
      <c r="I329" s="7" t="str">
        <f t="shared" si="135"/>
        <v>幼儿园教师资格</v>
      </c>
    </row>
    <row r="330" customHeight="1" spans="1:9">
      <c r="A330" s="6">
        <v>328</v>
      </c>
      <c r="B330" s="7" t="s">
        <v>11</v>
      </c>
      <c r="C330" s="8" t="str">
        <f>"谢海联"</f>
        <v>谢海联</v>
      </c>
      <c r="D330" s="8" t="str">
        <f t="shared" si="119"/>
        <v>女</v>
      </c>
      <c r="E330" s="7" t="str">
        <f>"460003199512212660"</f>
        <v>460003199512212660</v>
      </c>
      <c r="F330" s="7" t="str">
        <f>"华南师范大学"</f>
        <v>华南师范大学</v>
      </c>
      <c r="G330" s="7" t="str">
        <f t="shared" si="134"/>
        <v>学前教育</v>
      </c>
      <c r="H330" s="7" t="str">
        <f t="shared" si="138"/>
        <v>专科</v>
      </c>
      <c r="I330" s="7" t="str">
        <f t="shared" si="135"/>
        <v>幼儿园教师资格</v>
      </c>
    </row>
    <row r="331" customHeight="1" spans="1:9">
      <c r="A331" s="6">
        <v>329</v>
      </c>
      <c r="B331" s="7" t="s">
        <v>11</v>
      </c>
      <c r="C331" s="8" t="str">
        <f>"肖焕振"</f>
        <v>肖焕振</v>
      </c>
      <c r="D331" s="8" t="str">
        <f t="shared" si="119"/>
        <v>女</v>
      </c>
      <c r="E331" s="7" t="str">
        <f>"460003199401022442"</f>
        <v>460003199401022442</v>
      </c>
      <c r="F331" s="7" t="str">
        <f>"海口市琼台师范学院"</f>
        <v>海口市琼台师范学院</v>
      </c>
      <c r="G331" s="7" t="str">
        <f t="shared" si="134"/>
        <v>学前教育</v>
      </c>
      <c r="H331" s="7" t="str">
        <f t="shared" si="138"/>
        <v>专科</v>
      </c>
      <c r="I331" s="7" t="str">
        <f t="shared" si="135"/>
        <v>幼儿园教师资格</v>
      </c>
    </row>
    <row r="332" customHeight="1" spans="1:9">
      <c r="A332" s="6">
        <v>330</v>
      </c>
      <c r="B332" s="7" t="s">
        <v>10</v>
      </c>
      <c r="C332" s="8" t="str">
        <f>"杨小雨"</f>
        <v>杨小雨</v>
      </c>
      <c r="D332" s="8" t="str">
        <f t="shared" si="119"/>
        <v>女</v>
      </c>
      <c r="E332" s="7" t="str">
        <f>"460102199702072741"</f>
        <v>460102199702072741</v>
      </c>
      <c r="F332" s="7" t="str">
        <f>"琼台师范学校"</f>
        <v>琼台师范学校</v>
      </c>
      <c r="G332" s="7" t="str">
        <f t="shared" si="134"/>
        <v>学前教育</v>
      </c>
      <c r="H332" s="12" t="s">
        <v>13</v>
      </c>
      <c r="I332" s="7" t="str">
        <f t="shared" si="135"/>
        <v>幼儿园教师资格</v>
      </c>
    </row>
    <row r="333" customHeight="1" spans="1:9">
      <c r="A333" s="6">
        <v>331</v>
      </c>
      <c r="B333" s="7" t="s">
        <v>12</v>
      </c>
      <c r="C333" s="8" t="str">
        <f>"丁忆西"</f>
        <v>丁忆西</v>
      </c>
      <c r="D333" s="8" t="str">
        <f t="shared" si="119"/>
        <v>女</v>
      </c>
      <c r="E333" s="7" t="str">
        <f>"430219199906263926"</f>
        <v>430219199906263926</v>
      </c>
      <c r="F333" s="7" t="str">
        <f>"长沙师范学院"</f>
        <v>长沙师范学院</v>
      </c>
      <c r="G333" s="7" t="str">
        <f>"学前教育专业"</f>
        <v>学前教育专业</v>
      </c>
      <c r="H333" s="7" t="str">
        <f t="shared" ref="H333:H339" si="139">"专科"</f>
        <v>专科</v>
      </c>
      <c r="I333" s="7" t="str">
        <f t="shared" si="135"/>
        <v>幼儿园教师资格</v>
      </c>
    </row>
    <row r="334" customHeight="1" spans="1:9">
      <c r="A334" s="6">
        <v>332</v>
      </c>
      <c r="B334" s="7" t="s">
        <v>10</v>
      </c>
      <c r="C334" s="8" t="str">
        <f>"关婉莹"</f>
        <v>关婉莹</v>
      </c>
      <c r="D334" s="8" t="str">
        <f t="shared" si="119"/>
        <v>女</v>
      </c>
      <c r="E334" s="7" t="str">
        <f>"460006199709088148"</f>
        <v>460006199709088148</v>
      </c>
      <c r="F334" s="7" t="str">
        <f t="shared" ref="F334:F340" si="140">"琼台师范学院"</f>
        <v>琼台师范学院</v>
      </c>
      <c r="G334" s="7" t="str">
        <f t="shared" ref="G334:G342" si="141">"学前教育"</f>
        <v>学前教育</v>
      </c>
      <c r="H334" s="7" t="str">
        <f t="shared" si="139"/>
        <v>专科</v>
      </c>
      <c r="I334" s="7" t="str">
        <f t="shared" si="135"/>
        <v>幼儿园教师资格</v>
      </c>
    </row>
    <row r="335" customHeight="1" spans="1:9">
      <c r="A335" s="6">
        <v>333</v>
      </c>
      <c r="B335" s="7" t="s">
        <v>10</v>
      </c>
      <c r="C335" s="8" t="str">
        <f>"吴秋荟"</f>
        <v>吴秋荟</v>
      </c>
      <c r="D335" s="8" t="str">
        <f t="shared" si="119"/>
        <v>女</v>
      </c>
      <c r="E335" s="7" t="str">
        <f>"469021199012013025"</f>
        <v>469021199012013025</v>
      </c>
      <c r="F335" s="7" t="str">
        <f>"海南师范大学"</f>
        <v>海南师范大学</v>
      </c>
      <c r="G335" s="7" t="str">
        <f t="shared" si="141"/>
        <v>学前教育</v>
      </c>
      <c r="H335" s="7" t="str">
        <f t="shared" si="139"/>
        <v>专科</v>
      </c>
      <c r="I335" s="7" t="str">
        <f t="shared" si="135"/>
        <v>幼儿园教师资格</v>
      </c>
    </row>
    <row r="336" customHeight="1" spans="1:9">
      <c r="A336" s="6">
        <v>334</v>
      </c>
      <c r="B336" s="7" t="s">
        <v>11</v>
      </c>
      <c r="C336" s="8" t="str">
        <f>"王冬零"</f>
        <v>王冬零</v>
      </c>
      <c r="D336" s="8" t="str">
        <f t="shared" si="119"/>
        <v>女</v>
      </c>
      <c r="E336" s="7" t="str">
        <f>"460028199705296044"</f>
        <v>460028199705296044</v>
      </c>
      <c r="F336" s="7" t="str">
        <f>"九江职业大学"</f>
        <v>九江职业大学</v>
      </c>
      <c r="G336" s="7" t="str">
        <f t="shared" si="141"/>
        <v>学前教育</v>
      </c>
      <c r="H336" s="7" t="str">
        <f t="shared" si="139"/>
        <v>专科</v>
      </c>
      <c r="I336" s="7" t="str">
        <f t="shared" si="135"/>
        <v>幼儿园教师资格</v>
      </c>
    </row>
    <row r="337" customHeight="1" spans="1:9">
      <c r="A337" s="6">
        <v>335</v>
      </c>
      <c r="B337" s="7" t="s">
        <v>11</v>
      </c>
      <c r="C337" s="8" t="str">
        <f>"顾一凡"</f>
        <v>顾一凡</v>
      </c>
      <c r="D337" s="8" t="str">
        <f t="shared" si="119"/>
        <v>女</v>
      </c>
      <c r="E337" s="7" t="str">
        <f>"460006199603077520"</f>
        <v>460006199603077520</v>
      </c>
      <c r="F337" s="7" t="str">
        <f t="shared" si="140"/>
        <v>琼台师范学院</v>
      </c>
      <c r="G337" s="7" t="str">
        <f t="shared" si="141"/>
        <v>学前教育</v>
      </c>
      <c r="H337" s="7" t="str">
        <f t="shared" si="139"/>
        <v>专科</v>
      </c>
      <c r="I337" s="7" t="str">
        <f t="shared" si="135"/>
        <v>幼儿园教师资格</v>
      </c>
    </row>
    <row r="338" customHeight="1" spans="1:9">
      <c r="A338" s="6">
        <v>336</v>
      </c>
      <c r="B338" s="7" t="s">
        <v>11</v>
      </c>
      <c r="C338" s="8" t="str">
        <f>"王强"</f>
        <v>王强</v>
      </c>
      <c r="D338" s="8" t="str">
        <f t="shared" si="119"/>
        <v>女</v>
      </c>
      <c r="E338" s="7" t="str">
        <f>"460026199206082428"</f>
        <v>460026199206082428</v>
      </c>
      <c r="F338" s="7" t="str">
        <f>"湖北大学"</f>
        <v>湖北大学</v>
      </c>
      <c r="G338" s="7" t="str">
        <f t="shared" si="141"/>
        <v>学前教育</v>
      </c>
      <c r="H338" s="7" t="str">
        <f t="shared" si="139"/>
        <v>专科</v>
      </c>
      <c r="I338" s="7" t="str">
        <f t="shared" si="135"/>
        <v>幼儿园教师资格</v>
      </c>
    </row>
    <row r="339" customHeight="1" spans="1:9">
      <c r="A339" s="6">
        <v>337</v>
      </c>
      <c r="B339" s="7" t="s">
        <v>10</v>
      </c>
      <c r="C339" s="8" t="str">
        <f>"庞娜娜"</f>
        <v>庞娜娜</v>
      </c>
      <c r="D339" s="8" t="str">
        <f t="shared" si="119"/>
        <v>女</v>
      </c>
      <c r="E339" s="7" t="str">
        <f>"460036199712143820"</f>
        <v>460036199712143820</v>
      </c>
      <c r="F339" s="7" t="str">
        <f t="shared" si="140"/>
        <v>琼台师范学院</v>
      </c>
      <c r="G339" s="7" t="str">
        <f t="shared" si="141"/>
        <v>学前教育</v>
      </c>
      <c r="H339" s="7" t="str">
        <f t="shared" si="139"/>
        <v>专科</v>
      </c>
      <c r="I339" s="7" t="str">
        <f t="shared" si="135"/>
        <v>幼儿园教师资格</v>
      </c>
    </row>
    <row r="340" customHeight="1" spans="1:9">
      <c r="A340" s="6">
        <v>338</v>
      </c>
      <c r="B340" s="7" t="s">
        <v>12</v>
      </c>
      <c r="C340" s="8" t="str">
        <f>"黄平丽"</f>
        <v>黄平丽</v>
      </c>
      <c r="D340" s="8" t="str">
        <f t="shared" si="119"/>
        <v>女</v>
      </c>
      <c r="E340" s="7" t="str">
        <f>"460027199411236648"</f>
        <v>460027199411236648</v>
      </c>
      <c r="F340" s="7" t="str">
        <f t="shared" si="140"/>
        <v>琼台师范学院</v>
      </c>
      <c r="G340" s="7" t="str">
        <f t="shared" si="141"/>
        <v>学前教育</v>
      </c>
      <c r="H340" s="12" t="s">
        <v>13</v>
      </c>
      <c r="I340" s="7" t="str">
        <f t="shared" si="135"/>
        <v>幼儿园教师资格</v>
      </c>
    </row>
    <row r="341" customHeight="1" spans="1:9">
      <c r="A341" s="6">
        <v>339</v>
      </c>
      <c r="B341" s="7" t="s">
        <v>11</v>
      </c>
      <c r="C341" s="8" t="str">
        <f>"包有美"</f>
        <v>包有美</v>
      </c>
      <c r="D341" s="8" t="str">
        <f t="shared" si="119"/>
        <v>女</v>
      </c>
      <c r="E341" s="7" t="str">
        <f>"460031199502016442"</f>
        <v>460031199502016442</v>
      </c>
      <c r="F341" s="7" t="str">
        <f t="shared" ref="F341:F344" si="142">"海南热带海洋学院"</f>
        <v>海南热带海洋学院</v>
      </c>
      <c r="G341" s="7" t="str">
        <f t="shared" si="141"/>
        <v>学前教育</v>
      </c>
      <c r="H341" s="7" t="str">
        <f t="shared" ref="H341:H350" si="143">"专科"</f>
        <v>专科</v>
      </c>
      <c r="I341" s="7" t="str">
        <f t="shared" si="135"/>
        <v>幼儿园教师资格</v>
      </c>
    </row>
    <row r="342" customHeight="1" spans="1:9">
      <c r="A342" s="6">
        <v>340</v>
      </c>
      <c r="B342" s="7" t="s">
        <v>11</v>
      </c>
      <c r="C342" s="8" t="str">
        <f>"林道芳"</f>
        <v>林道芳</v>
      </c>
      <c r="D342" s="8" t="str">
        <f t="shared" si="119"/>
        <v>女</v>
      </c>
      <c r="E342" s="7" t="str">
        <f>"460006199609172027"</f>
        <v>460006199609172027</v>
      </c>
      <c r="F342" s="7" t="str">
        <f>"琼台师范学院"</f>
        <v>琼台师范学院</v>
      </c>
      <c r="G342" s="7" t="str">
        <f t="shared" si="141"/>
        <v>学前教育</v>
      </c>
      <c r="H342" s="7" t="str">
        <f t="shared" ref="H342:H345" si="144">"专科(高职)"</f>
        <v>专科(高职)</v>
      </c>
      <c r="I342" s="7" t="str">
        <f t="shared" si="135"/>
        <v>幼儿园教师资格</v>
      </c>
    </row>
    <row r="343" customHeight="1" spans="1:9">
      <c r="A343" s="6">
        <v>341</v>
      </c>
      <c r="B343" s="7" t="s">
        <v>10</v>
      </c>
      <c r="C343" s="8" t="str">
        <f>"陈秀霞"</f>
        <v>陈秀霞</v>
      </c>
      <c r="D343" s="8" t="str">
        <f t="shared" si="119"/>
        <v>女</v>
      </c>
      <c r="E343" s="7" t="str">
        <f>"460003199509301427"</f>
        <v>460003199509301427</v>
      </c>
      <c r="F343" s="7" t="str">
        <f t="shared" si="142"/>
        <v>海南热带海洋学院</v>
      </c>
      <c r="G343" s="7" t="str">
        <f>"学前教育（英语方向）（师范）"</f>
        <v>学前教育（英语方向）（师范）</v>
      </c>
      <c r="H343" s="7" t="str">
        <f t="shared" si="144"/>
        <v>专科(高职)</v>
      </c>
      <c r="I343" s="7" t="str">
        <f t="shared" si="135"/>
        <v>幼儿园教师资格</v>
      </c>
    </row>
    <row r="344" customHeight="1" spans="1:9">
      <c r="A344" s="6">
        <v>342</v>
      </c>
      <c r="B344" s="7" t="s">
        <v>10</v>
      </c>
      <c r="C344" s="8" t="str">
        <f>"符思敏"</f>
        <v>符思敏</v>
      </c>
      <c r="D344" s="8" t="str">
        <f t="shared" si="119"/>
        <v>女</v>
      </c>
      <c r="E344" s="7" t="str">
        <f>"460028199506270861"</f>
        <v>460028199506270861</v>
      </c>
      <c r="F344" s="7" t="str">
        <f t="shared" si="142"/>
        <v>海南热带海洋学院</v>
      </c>
      <c r="G344" s="7" t="str">
        <f>"学前教育专业"</f>
        <v>学前教育专业</v>
      </c>
      <c r="H344" s="7" t="str">
        <f t="shared" si="143"/>
        <v>专科</v>
      </c>
      <c r="I344" s="7" t="str">
        <f t="shared" si="135"/>
        <v>幼儿园教师资格</v>
      </c>
    </row>
    <row r="345" customHeight="1" spans="1:9">
      <c r="A345" s="6">
        <v>343</v>
      </c>
      <c r="B345" s="7" t="s">
        <v>11</v>
      </c>
      <c r="C345" s="8" t="str">
        <f>"吴东新"</f>
        <v>吴东新</v>
      </c>
      <c r="D345" s="8" t="str">
        <f t="shared" si="119"/>
        <v>女</v>
      </c>
      <c r="E345" s="7" t="str">
        <f>"460027199707298223"</f>
        <v>460027199707298223</v>
      </c>
      <c r="F345" s="7" t="str">
        <f>"琼台师范学院"</f>
        <v>琼台师范学院</v>
      </c>
      <c r="G345" s="7" t="str">
        <f t="shared" ref="G345:G348" si="145">"学前教育"</f>
        <v>学前教育</v>
      </c>
      <c r="H345" s="7" t="str">
        <f t="shared" si="144"/>
        <v>专科(高职)</v>
      </c>
      <c r="I345" s="7" t="str">
        <f t="shared" si="135"/>
        <v>幼儿园教师资格</v>
      </c>
    </row>
    <row r="346" customHeight="1" spans="1:9">
      <c r="A346" s="6">
        <v>344</v>
      </c>
      <c r="B346" s="7" t="s">
        <v>12</v>
      </c>
      <c r="C346" s="8" t="str">
        <f>"符少云"</f>
        <v>符少云</v>
      </c>
      <c r="D346" s="8" t="str">
        <f t="shared" si="119"/>
        <v>女</v>
      </c>
      <c r="E346" s="7" t="str">
        <f>"460003199802071026"</f>
        <v>460003199802071026</v>
      </c>
      <c r="F346" s="7" t="str">
        <f>"湖北大学"</f>
        <v>湖北大学</v>
      </c>
      <c r="G346" s="7" t="str">
        <f t="shared" si="145"/>
        <v>学前教育</v>
      </c>
      <c r="H346" s="7" t="str">
        <f t="shared" si="143"/>
        <v>专科</v>
      </c>
      <c r="I346" s="7" t="str">
        <f t="shared" si="135"/>
        <v>幼儿园教师资格</v>
      </c>
    </row>
    <row r="347" customHeight="1" spans="1:9">
      <c r="A347" s="6">
        <v>345</v>
      </c>
      <c r="B347" s="7" t="s">
        <v>10</v>
      </c>
      <c r="C347" s="8" t="str">
        <f>"叶抚璋"</f>
        <v>叶抚璋</v>
      </c>
      <c r="D347" s="8" t="str">
        <f t="shared" si="119"/>
        <v>女</v>
      </c>
      <c r="E347" s="7" t="str">
        <f>"460006199210011643"</f>
        <v>460006199210011643</v>
      </c>
      <c r="F347" s="7" t="str">
        <f>"琼台师范"</f>
        <v>琼台师范</v>
      </c>
      <c r="G347" s="7" t="str">
        <f t="shared" si="145"/>
        <v>学前教育</v>
      </c>
      <c r="H347" s="7" t="str">
        <f t="shared" si="143"/>
        <v>专科</v>
      </c>
      <c r="I347" s="7" t="str">
        <f t="shared" si="135"/>
        <v>幼儿园教师资格</v>
      </c>
    </row>
    <row r="348" customHeight="1" spans="1:9">
      <c r="A348" s="6">
        <v>346</v>
      </c>
      <c r="B348" s="7" t="s">
        <v>10</v>
      </c>
      <c r="C348" s="8" t="str">
        <f>"许嘉芯"</f>
        <v>许嘉芯</v>
      </c>
      <c r="D348" s="8" t="str">
        <f t="shared" si="119"/>
        <v>女</v>
      </c>
      <c r="E348" s="7" t="str">
        <f>"460107199607284625"</f>
        <v>460107199607284625</v>
      </c>
      <c r="F348" s="7" t="str">
        <f>"西安翻译学院"</f>
        <v>西安翻译学院</v>
      </c>
      <c r="G348" s="7" t="str">
        <f t="shared" si="145"/>
        <v>学前教育</v>
      </c>
      <c r="H348" s="7" t="str">
        <f t="shared" si="143"/>
        <v>专科</v>
      </c>
      <c r="I348" s="7" t="str">
        <f t="shared" si="135"/>
        <v>幼儿园教师资格</v>
      </c>
    </row>
    <row r="349" customHeight="1" spans="1:9">
      <c r="A349" s="6">
        <v>347</v>
      </c>
      <c r="B349" s="7" t="s">
        <v>11</v>
      </c>
      <c r="C349" s="8" t="str">
        <f>"金庆坤"</f>
        <v>金庆坤</v>
      </c>
      <c r="D349" s="8" t="str">
        <f t="shared" si="119"/>
        <v>女</v>
      </c>
      <c r="E349" s="7" t="str">
        <f>"469003199510082426"</f>
        <v>469003199510082426</v>
      </c>
      <c r="F349" s="7" t="str">
        <f>"海南省海口市琼山区琼台师范学院"</f>
        <v>海南省海口市琼山区琼台师范学院</v>
      </c>
      <c r="G349" s="7" t="str">
        <f>"学前教育专业"</f>
        <v>学前教育专业</v>
      </c>
      <c r="H349" s="7" t="str">
        <f t="shared" si="143"/>
        <v>专科</v>
      </c>
      <c r="I349" s="7" t="str">
        <f t="shared" si="135"/>
        <v>幼儿园教师资格</v>
      </c>
    </row>
    <row r="350" customHeight="1" spans="1:9">
      <c r="A350" s="6">
        <v>348</v>
      </c>
      <c r="B350" s="7" t="s">
        <v>10</v>
      </c>
      <c r="C350" s="8" t="str">
        <f>"梁小娟"</f>
        <v>梁小娟</v>
      </c>
      <c r="D350" s="8" t="str">
        <f t="shared" si="119"/>
        <v>女</v>
      </c>
      <c r="E350" s="7" t="str">
        <f>"460006199210190426"</f>
        <v>460006199210190426</v>
      </c>
      <c r="F350" s="7" t="str">
        <f>"琼台师范高等专科学校"</f>
        <v>琼台师范高等专科学校</v>
      </c>
      <c r="G350" s="7" t="str">
        <f t="shared" ref="G350:G362" si="146">"学前教育"</f>
        <v>学前教育</v>
      </c>
      <c r="H350" s="7" t="str">
        <f t="shared" si="143"/>
        <v>专科</v>
      </c>
      <c r="I350" s="7" t="str">
        <f t="shared" si="135"/>
        <v>幼儿园教师资格</v>
      </c>
    </row>
    <row r="351" customHeight="1" spans="1:9">
      <c r="A351" s="6">
        <v>349</v>
      </c>
      <c r="B351" s="7" t="s">
        <v>11</v>
      </c>
      <c r="C351" s="8" t="str">
        <f>"洪德岸"</f>
        <v>洪德岸</v>
      </c>
      <c r="D351" s="8" t="str">
        <f>"男"</f>
        <v>男</v>
      </c>
      <c r="E351" s="7" t="str">
        <f>"460004199505110216"</f>
        <v>460004199505110216</v>
      </c>
      <c r="F351" s="7" t="str">
        <f>"琼台师范学院"</f>
        <v>琼台师范学院</v>
      </c>
      <c r="G351" s="7" t="str">
        <f t="shared" si="146"/>
        <v>学前教育</v>
      </c>
      <c r="H351" s="7" t="str">
        <f>"专科(高职)"</f>
        <v>专科(高职)</v>
      </c>
      <c r="I351" s="7" t="str">
        <f t="shared" si="135"/>
        <v>幼儿园教师资格</v>
      </c>
    </row>
    <row r="352" customHeight="1" spans="1:9">
      <c r="A352" s="6">
        <v>350</v>
      </c>
      <c r="B352" s="7" t="s">
        <v>11</v>
      </c>
      <c r="C352" s="8" t="str">
        <f>"李梅青"</f>
        <v>李梅青</v>
      </c>
      <c r="D352" s="8" t="str">
        <f t="shared" ref="D352:D364" si="147">"女"</f>
        <v>女</v>
      </c>
      <c r="E352" s="7" t="str">
        <f>"469003199509267327"</f>
        <v>469003199509267327</v>
      </c>
      <c r="F352" s="7" t="str">
        <f>"海南热带海洋学院"</f>
        <v>海南热带海洋学院</v>
      </c>
      <c r="G352" s="7" t="str">
        <f t="shared" si="146"/>
        <v>学前教育</v>
      </c>
      <c r="H352" s="7" t="str">
        <f t="shared" ref="H352:H354" si="148">"专科"</f>
        <v>专科</v>
      </c>
      <c r="I352" s="7" t="str">
        <f t="shared" si="135"/>
        <v>幼儿园教师资格</v>
      </c>
    </row>
    <row r="353" customHeight="1" spans="1:9">
      <c r="A353" s="6">
        <v>351</v>
      </c>
      <c r="B353" s="7" t="s">
        <v>11</v>
      </c>
      <c r="C353" s="8" t="str">
        <f>"符玉京"</f>
        <v>符玉京</v>
      </c>
      <c r="D353" s="8" t="str">
        <f t="shared" si="147"/>
        <v>女</v>
      </c>
      <c r="E353" s="7" t="str">
        <f>"469025199209101825"</f>
        <v>469025199209101825</v>
      </c>
      <c r="F353" s="7" t="str">
        <f>"海南热带海洋学院"</f>
        <v>海南热带海洋学院</v>
      </c>
      <c r="G353" s="7" t="str">
        <f t="shared" si="146"/>
        <v>学前教育</v>
      </c>
      <c r="H353" s="7" t="str">
        <f t="shared" si="148"/>
        <v>专科</v>
      </c>
      <c r="I353" s="7" t="str">
        <f t="shared" si="135"/>
        <v>幼儿园教师资格</v>
      </c>
    </row>
    <row r="354" customHeight="1" spans="1:9">
      <c r="A354" s="6">
        <v>352</v>
      </c>
      <c r="B354" s="7" t="s">
        <v>12</v>
      </c>
      <c r="C354" s="8" t="str">
        <f>"邱玉波"</f>
        <v>邱玉波</v>
      </c>
      <c r="D354" s="8" t="str">
        <f t="shared" si="147"/>
        <v>女</v>
      </c>
      <c r="E354" s="7" t="str">
        <f>"460007199607054365"</f>
        <v>460007199607054365</v>
      </c>
      <c r="F354" s="7" t="str">
        <f>"海南省热带海洋学院"</f>
        <v>海南省热带海洋学院</v>
      </c>
      <c r="G354" s="7" t="str">
        <f t="shared" si="146"/>
        <v>学前教育</v>
      </c>
      <c r="H354" s="7" t="str">
        <f t="shared" si="148"/>
        <v>专科</v>
      </c>
      <c r="I354" s="7" t="str">
        <f t="shared" si="135"/>
        <v>幼儿园教师资格</v>
      </c>
    </row>
    <row r="355" customHeight="1" spans="1:9">
      <c r="A355" s="6">
        <v>353</v>
      </c>
      <c r="B355" s="7" t="s">
        <v>12</v>
      </c>
      <c r="C355" s="8" t="str">
        <f>"吴金莲"</f>
        <v>吴金莲</v>
      </c>
      <c r="D355" s="8" t="str">
        <f t="shared" si="147"/>
        <v>女</v>
      </c>
      <c r="E355" s="7" t="str">
        <f>"460003199501182427"</f>
        <v>460003199501182427</v>
      </c>
      <c r="F355" s="7" t="str">
        <f>"江西科技学院"</f>
        <v>江西科技学院</v>
      </c>
      <c r="G355" s="7" t="str">
        <f t="shared" si="146"/>
        <v>学前教育</v>
      </c>
      <c r="H355" s="7" t="str">
        <f>"本科"</f>
        <v>本科</v>
      </c>
      <c r="I355" s="7" t="str">
        <f t="shared" si="135"/>
        <v>幼儿园教师资格</v>
      </c>
    </row>
    <row r="356" customHeight="1" spans="1:9">
      <c r="A356" s="6">
        <v>354</v>
      </c>
      <c r="B356" s="7" t="s">
        <v>10</v>
      </c>
      <c r="C356" s="8" t="str">
        <f>"沈雅雅"</f>
        <v>沈雅雅</v>
      </c>
      <c r="D356" s="8" t="str">
        <f t="shared" si="147"/>
        <v>女</v>
      </c>
      <c r="E356" s="7" t="str">
        <f>"460006199507104840"</f>
        <v>460006199507104840</v>
      </c>
      <c r="F356" s="7" t="str">
        <f>"海南师范大学"</f>
        <v>海南师范大学</v>
      </c>
      <c r="G356" s="7" t="str">
        <f t="shared" si="146"/>
        <v>学前教育</v>
      </c>
      <c r="H356" s="7" t="str">
        <f t="shared" ref="H356:H362" si="149">"专科"</f>
        <v>专科</v>
      </c>
      <c r="I356" s="7" t="str">
        <f t="shared" si="135"/>
        <v>幼儿园教师资格</v>
      </c>
    </row>
    <row r="357" customHeight="1" spans="1:9">
      <c r="A357" s="6">
        <v>355</v>
      </c>
      <c r="B357" s="7" t="s">
        <v>11</v>
      </c>
      <c r="C357" s="8" t="str">
        <f>"温静静"</f>
        <v>温静静</v>
      </c>
      <c r="D357" s="8" t="str">
        <f t="shared" si="147"/>
        <v>女</v>
      </c>
      <c r="E357" s="7" t="str">
        <f>"460034199402205528"</f>
        <v>460034199402205528</v>
      </c>
      <c r="F357" s="7" t="str">
        <f t="shared" ref="F357:F359" si="150">"琼台师范学院"</f>
        <v>琼台师范学院</v>
      </c>
      <c r="G357" s="7" t="str">
        <f t="shared" si="146"/>
        <v>学前教育</v>
      </c>
      <c r="H357" s="7" t="str">
        <f t="shared" si="149"/>
        <v>专科</v>
      </c>
      <c r="I357" s="7" t="str">
        <f t="shared" si="135"/>
        <v>幼儿园教师资格</v>
      </c>
    </row>
    <row r="358" customHeight="1" spans="1:9">
      <c r="A358" s="6">
        <v>356</v>
      </c>
      <c r="B358" s="7" t="s">
        <v>11</v>
      </c>
      <c r="C358" s="8" t="str">
        <f>"陈慧珍"</f>
        <v>陈慧珍</v>
      </c>
      <c r="D358" s="8" t="str">
        <f t="shared" si="147"/>
        <v>女</v>
      </c>
      <c r="E358" s="7" t="str">
        <f>"460027199703037026"</f>
        <v>460027199703037026</v>
      </c>
      <c r="F358" s="7" t="str">
        <f t="shared" si="150"/>
        <v>琼台师范学院</v>
      </c>
      <c r="G358" s="7" t="str">
        <f t="shared" si="146"/>
        <v>学前教育</v>
      </c>
      <c r="H358" s="7" t="str">
        <f t="shared" si="149"/>
        <v>专科</v>
      </c>
      <c r="I358" s="7" t="str">
        <f t="shared" si="135"/>
        <v>幼儿园教师资格</v>
      </c>
    </row>
    <row r="359" customHeight="1" spans="1:9">
      <c r="A359" s="6">
        <v>357</v>
      </c>
      <c r="B359" s="7" t="s">
        <v>12</v>
      </c>
      <c r="C359" s="8" t="str">
        <f>"陈世风"</f>
        <v>陈世风</v>
      </c>
      <c r="D359" s="8" t="str">
        <f t="shared" si="147"/>
        <v>女</v>
      </c>
      <c r="E359" s="7" t="str">
        <f>"460031199408126442"</f>
        <v>460031199408126442</v>
      </c>
      <c r="F359" s="7" t="str">
        <f t="shared" si="150"/>
        <v>琼台师范学院</v>
      </c>
      <c r="G359" s="7" t="str">
        <f t="shared" si="146"/>
        <v>学前教育</v>
      </c>
      <c r="H359" s="7" t="str">
        <f t="shared" si="149"/>
        <v>专科</v>
      </c>
      <c r="I359" s="7" t="str">
        <f t="shared" si="135"/>
        <v>幼儿园教师资格</v>
      </c>
    </row>
    <row r="360" customHeight="1" spans="1:9">
      <c r="A360" s="6">
        <v>358</v>
      </c>
      <c r="B360" s="7" t="s">
        <v>10</v>
      </c>
      <c r="C360" s="8" t="str">
        <f>"唐秀丽"</f>
        <v>唐秀丽</v>
      </c>
      <c r="D360" s="8" t="str">
        <f t="shared" si="147"/>
        <v>女</v>
      </c>
      <c r="E360" s="7" t="str">
        <f>"460003199602024225"</f>
        <v>460003199602024225</v>
      </c>
      <c r="F360" s="7" t="str">
        <f>"荆楚理工学院"</f>
        <v>荆楚理工学院</v>
      </c>
      <c r="G360" s="7" t="str">
        <f t="shared" si="146"/>
        <v>学前教育</v>
      </c>
      <c r="H360" s="7" t="str">
        <f t="shared" si="149"/>
        <v>专科</v>
      </c>
      <c r="I360" s="7" t="str">
        <f t="shared" si="135"/>
        <v>幼儿园教师资格</v>
      </c>
    </row>
    <row r="361" customHeight="1" spans="1:9">
      <c r="A361" s="6">
        <v>359</v>
      </c>
      <c r="B361" s="7" t="s">
        <v>10</v>
      </c>
      <c r="C361" s="8" t="str">
        <f>"苏华"</f>
        <v>苏华</v>
      </c>
      <c r="D361" s="8" t="str">
        <f t="shared" si="147"/>
        <v>女</v>
      </c>
      <c r="E361" s="7" t="str">
        <f>"460026199305243629"</f>
        <v>460026199305243629</v>
      </c>
      <c r="F361" s="7" t="str">
        <f t="shared" ref="F361:F364" si="151">"琼台师范学院"</f>
        <v>琼台师范学院</v>
      </c>
      <c r="G361" s="7" t="str">
        <f t="shared" si="146"/>
        <v>学前教育</v>
      </c>
      <c r="H361" s="7" t="str">
        <f t="shared" si="149"/>
        <v>专科</v>
      </c>
      <c r="I361" s="7" t="str">
        <f t="shared" si="135"/>
        <v>幼儿园教师资格</v>
      </c>
    </row>
    <row r="362" customHeight="1" spans="1:9">
      <c r="A362" s="6">
        <v>360</v>
      </c>
      <c r="B362" s="7" t="s">
        <v>12</v>
      </c>
      <c r="C362" s="8" t="str">
        <f>"沈小惠"</f>
        <v>沈小惠</v>
      </c>
      <c r="D362" s="8" t="str">
        <f t="shared" si="147"/>
        <v>女</v>
      </c>
      <c r="E362" s="7" t="str">
        <f>"460004199605082048"</f>
        <v>460004199605082048</v>
      </c>
      <c r="F362" s="7" t="str">
        <f t="shared" si="151"/>
        <v>琼台师范学院</v>
      </c>
      <c r="G362" s="7" t="str">
        <f t="shared" si="146"/>
        <v>学前教育</v>
      </c>
      <c r="H362" s="7" t="str">
        <f t="shared" si="149"/>
        <v>专科</v>
      </c>
      <c r="I362" s="7" t="str">
        <f t="shared" si="135"/>
        <v>幼儿园教师资格</v>
      </c>
    </row>
    <row r="363" customHeight="1" spans="1:9">
      <c r="A363" s="6">
        <v>361</v>
      </c>
      <c r="B363" s="7" t="s">
        <v>10</v>
      </c>
      <c r="C363" s="8" t="str">
        <f>"彭晓月"</f>
        <v>彭晓月</v>
      </c>
      <c r="D363" s="8" t="str">
        <f t="shared" si="147"/>
        <v>女</v>
      </c>
      <c r="E363" s="7" t="str">
        <f>"460026199706060049"</f>
        <v>460026199706060049</v>
      </c>
      <c r="F363" s="7" t="str">
        <f>"南宁师范大学师园学院"</f>
        <v>南宁师范大学师园学院</v>
      </c>
      <c r="G363" s="7" t="str">
        <f>"学前教育专业"</f>
        <v>学前教育专业</v>
      </c>
      <c r="H363" s="7" t="str">
        <f>"本科"</f>
        <v>本科</v>
      </c>
      <c r="I363" s="7" t="str">
        <f t="shared" si="135"/>
        <v>幼儿园教师资格</v>
      </c>
    </row>
    <row r="364" customHeight="1" spans="1:9">
      <c r="A364" s="6">
        <v>362</v>
      </c>
      <c r="B364" s="7" t="s">
        <v>11</v>
      </c>
      <c r="C364" s="8" t="str">
        <f>"谢婷婷"</f>
        <v>谢婷婷</v>
      </c>
      <c r="D364" s="8" t="str">
        <f t="shared" si="147"/>
        <v>女</v>
      </c>
      <c r="E364" s="7" t="str">
        <f>"350922200003170026"</f>
        <v>350922200003170026</v>
      </c>
      <c r="F364" s="7" t="str">
        <f t="shared" si="151"/>
        <v>琼台师范学院</v>
      </c>
      <c r="G364" s="7" t="str">
        <f t="shared" ref="G364:G368" si="152">"学前教育"</f>
        <v>学前教育</v>
      </c>
      <c r="H364" s="7" t="str">
        <f t="shared" ref="H364:H367" si="153">"专科"</f>
        <v>专科</v>
      </c>
      <c r="I364" s="7" t="str">
        <f t="shared" si="135"/>
        <v>幼儿园教师资格</v>
      </c>
    </row>
    <row r="365" customHeight="1" spans="1:9">
      <c r="A365" s="6">
        <v>363</v>
      </c>
      <c r="B365" s="7" t="s">
        <v>11</v>
      </c>
      <c r="C365" s="8" t="str">
        <f>"黄光锦"</f>
        <v>黄光锦</v>
      </c>
      <c r="D365" s="8" t="str">
        <f>"男"</f>
        <v>男</v>
      </c>
      <c r="E365" s="7" t="str">
        <f>"46003019930704541X"</f>
        <v>46003019930704541X</v>
      </c>
      <c r="F365" s="7" t="str">
        <f>"琼州学院"</f>
        <v>琼州学院</v>
      </c>
      <c r="G365" s="7" t="str">
        <f t="shared" si="152"/>
        <v>学前教育</v>
      </c>
      <c r="H365" s="7" t="str">
        <f t="shared" si="153"/>
        <v>专科</v>
      </c>
      <c r="I365" s="7" t="str">
        <f t="shared" si="135"/>
        <v>幼儿园教师资格</v>
      </c>
    </row>
    <row r="366" customHeight="1" spans="1:9">
      <c r="A366" s="6">
        <v>364</v>
      </c>
      <c r="B366" s="7" t="s">
        <v>12</v>
      </c>
      <c r="C366" s="8" t="str">
        <f>"吴娇喻"</f>
        <v>吴娇喻</v>
      </c>
      <c r="D366" s="8" t="str">
        <f t="shared" ref="D366:D419" si="154">"女"</f>
        <v>女</v>
      </c>
      <c r="E366" s="7" t="str">
        <f>"460006199608044023"</f>
        <v>460006199608044023</v>
      </c>
      <c r="F366" s="7" t="str">
        <f t="shared" ref="F366:F370" si="155">"海南热带海洋学院"</f>
        <v>海南热带海洋学院</v>
      </c>
      <c r="G366" s="7" t="str">
        <f>"学前教育（语文方向）"</f>
        <v>学前教育（语文方向）</v>
      </c>
      <c r="H366" s="7" t="str">
        <f t="shared" si="153"/>
        <v>专科</v>
      </c>
      <c r="I366" s="7" t="str">
        <f t="shared" si="135"/>
        <v>幼儿园教师资格</v>
      </c>
    </row>
    <row r="367" customHeight="1" spans="1:9">
      <c r="A367" s="6">
        <v>365</v>
      </c>
      <c r="B367" s="7" t="s">
        <v>11</v>
      </c>
      <c r="C367" s="8" t="str">
        <f>"谢金爱"</f>
        <v>谢金爱</v>
      </c>
      <c r="D367" s="8" t="str">
        <f t="shared" si="154"/>
        <v>女</v>
      </c>
      <c r="E367" s="7" t="str">
        <f>"460003199602016620"</f>
        <v>460003199602016620</v>
      </c>
      <c r="F367" s="7" t="str">
        <f>"琼台师范学院"</f>
        <v>琼台师范学院</v>
      </c>
      <c r="G367" s="7" t="str">
        <f t="shared" si="152"/>
        <v>学前教育</v>
      </c>
      <c r="H367" s="7" t="str">
        <f t="shared" si="153"/>
        <v>专科</v>
      </c>
      <c r="I367" s="7" t="str">
        <f t="shared" si="135"/>
        <v>幼儿园教师资格</v>
      </c>
    </row>
    <row r="368" customHeight="1" spans="1:9">
      <c r="A368" s="6">
        <v>366</v>
      </c>
      <c r="B368" s="7" t="s">
        <v>10</v>
      </c>
      <c r="C368" s="8" t="str">
        <f>"梁雪玲"</f>
        <v>梁雪玲</v>
      </c>
      <c r="D368" s="8" t="str">
        <f t="shared" si="154"/>
        <v>女</v>
      </c>
      <c r="E368" s="7" t="str">
        <f>"460003199409230027"</f>
        <v>460003199409230027</v>
      </c>
      <c r="F368" s="7" t="str">
        <f t="shared" si="155"/>
        <v>海南热带海洋学院</v>
      </c>
      <c r="G368" s="7" t="str">
        <f t="shared" si="152"/>
        <v>学前教育</v>
      </c>
      <c r="H368" s="7" t="str">
        <f t="shared" ref="H368:H373" si="156">"本科"</f>
        <v>本科</v>
      </c>
      <c r="I368" s="7" t="str">
        <f t="shared" si="135"/>
        <v>幼儿园教师资格</v>
      </c>
    </row>
    <row r="369" customHeight="1" spans="1:9">
      <c r="A369" s="6">
        <v>367</v>
      </c>
      <c r="B369" s="7" t="s">
        <v>10</v>
      </c>
      <c r="C369" s="8" t="str">
        <f>"吴莉花"</f>
        <v>吴莉花</v>
      </c>
      <c r="D369" s="8" t="str">
        <f t="shared" si="154"/>
        <v>女</v>
      </c>
      <c r="E369" s="7" t="str">
        <f>"460004199801225229"</f>
        <v>460004199801225229</v>
      </c>
      <c r="F369" s="7" t="str">
        <f t="shared" si="155"/>
        <v>海南热带海洋学院</v>
      </c>
      <c r="G369" s="7" t="str">
        <f t="shared" ref="G369:G372" si="157">"学前教育专业"</f>
        <v>学前教育专业</v>
      </c>
      <c r="H369" s="7" t="str">
        <f t="shared" ref="H369:H372" si="158">"专科"</f>
        <v>专科</v>
      </c>
      <c r="I369" s="7" t="str">
        <f t="shared" si="135"/>
        <v>幼儿园教师资格</v>
      </c>
    </row>
    <row r="370" customHeight="1" spans="1:9">
      <c r="A370" s="6">
        <v>368</v>
      </c>
      <c r="B370" s="7" t="s">
        <v>12</v>
      </c>
      <c r="C370" s="8" t="str">
        <f>"容孝婷"</f>
        <v>容孝婷</v>
      </c>
      <c r="D370" s="8" t="str">
        <f t="shared" si="154"/>
        <v>女</v>
      </c>
      <c r="E370" s="7" t="str">
        <f>"46902719960429448X"</f>
        <v>46902719960429448X</v>
      </c>
      <c r="F370" s="7" t="str">
        <f t="shared" si="155"/>
        <v>海南热带海洋学院</v>
      </c>
      <c r="G370" s="7" t="str">
        <f t="shared" ref="G370:G377" si="159">"学前教育"</f>
        <v>学前教育</v>
      </c>
      <c r="H370" s="7" t="str">
        <f t="shared" si="158"/>
        <v>专科</v>
      </c>
      <c r="I370" s="7" t="str">
        <f t="shared" si="135"/>
        <v>幼儿园教师资格</v>
      </c>
    </row>
    <row r="371" customHeight="1" spans="1:9">
      <c r="A371" s="6">
        <v>369</v>
      </c>
      <c r="B371" s="7" t="s">
        <v>10</v>
      </c>
      <c r="C371" s="8" t="str">
        <f>"陈奕奕"</f>
        <v>陈奕奕</v>
      </c>
      <c r="D371" s="8" t="str">
        <f t="shared" si="154"/>
        <v>女</v>
      </c>
      <c r="E371" s="7" t="str">
        <f>"460035199406270024"</f>
        <v>460035199406270024</v>
      </c>
      <c r="F371" s="7" t="str">
        <f>"海南师范大学"</f>
        <v>海南师范大学</v>
      </c>
      <c r="G371" s="7" t="str">
        <f t="shared" si="157"/>
        <v>学前教育专业</v>
      </c>
      <c r="H371" s="7" t="str">
        <f t="shared" si="156"/>
        <v>本科</v>
      </c>
      <c r="I371" s="7" t="str">
        <f t="shared" si="135"/>
        <v>幼儿园教师资格</v>
      </c>
    </row>
    <row r="372" customHeight="1" spans="1:9">
      <c r="A372" s="6">
        <v>370</v>
      </c>
      <c r="B372" s="7" t="s">
        <v>10</v>
      </c>
      <c r="C372" s="8" t="str">
        <f>"冯艳"</f>
        <v>冯艳</v>
      </c>
      <c r="D372" s="8" t="str">
        <f t="shared" si="154"/>
        <v>女</v>
      </c>
      <c r="E372" s="7" t="str">
        <f>"460025199603020021"</f>
        <v>460025199603020021</v>
      </c>
      <c r="F372" s="7" t="str">
        <f>"琼台师范学院"</f>
        <v>琼台师范学院</v>
      </c>
      <c r="G372" s="7" t="str">
        <f t="shared" si="157"/>
        <v>学前教育专业</v>
      </c>
      <c r="H372" s="7" t="str">
        <f t="shared" si="158"/>
        <v>专科</v>
      </c>
      <c r="I372" s="7" t="str">
        <f t="shared" si="135"/>
        <v>幼儿园教师资格</v>
      </c>
    </row>
    <row r="373" customHeight="1" spans="1:9">
      <c r="A373" s="6">
        <v>371</v>
      </c>
      <c r="B373" s="7" t="s">
        <v>10</v>
      </c>
      <c r="C373" s="8" t="str">
        <f>"沈淑桃"</f>
        <v>沈淑桃</v>
      </c>
      <c r="D373" s="8" t="str">
        <f t="shared" si="154"/>
        <v>女</v>
      </c>
      <c r="E373" s="7" t="str">
        <f>"46900319981001242X"</f>
        <v>46900319981001242X</v>
      </c>
      <c r="F373" s="7" t="str">
        <f>"云南师范大学商学院"</f>
        <v>云南师范大学商学院</v>
      </c>
      <c r="G373" s="7" t="str">
        <f t="shared" si="159"/>
        <v>学前教育</v>
      </c>
      <c r="H373" s="7" t="str">
        <f t="shared" si="156"/>
        <v>本科</v>
      </c>
      <c r="I373" s="7" t="str">
        <f t="shared" si="135"/>
        <v>幼儿园教师资格</v>
      </c>
    </row>
    <row r="374" customHeight="1" spans="1:9">
      <c r="A374" s="6">
        <v>372</v>
      </c>
      <c r="B374" s="7" t="s">
        <v>11</v>
      </c>
      <c r="C374" s="8" t="str">
        <f>"李选映"</f>
        <v>李选映</v>
      </c>
      <c r="D374" s="8" t="str">
        <f t="shared" si="154"/>
        <v>女</v>
      </c>
      <c r="E374" s="7" t="str">
        <f>"460002199608244126"</f>
        <v>460002199608244126</v>
      </c>
      <c r="F374" s="7" t="str">
        <f>"琼台师范学院"</f>
        <v>琼台师范学院</v>
      </c>
      <c r="G374" s="7" t="str">
        <f t="shared" si="159"/>
        <v>学前教育</v>
      </c>
      <c r="H374" s="7" t="str">
        <f>"专科(高职)"</f>
        <v>专科(高职)</v>
      </c>
      <c r="I374" s="7" t="str">
        <f t="shared" si="135"/>
        <v>幼儿园教师资格</v>
      </c>
    </row>
    <row r="375" customHeight="1" spans="1:9">
      <c r="A375" s="6">
        <v>373</v>
      </c>
      <c r="B375" s="7" t="s">
        <v>11</v>
      </c>
      <c r="C375" s="8" t="str">
        <f>"陈莲芬"</f>
        <v>陈莲芬</v>
      </c>
      <c r="D375" s="8" t="str">
        <f t="shared" si="154"/>
        <v>女</v>
      </c>
      <c r="E375" s="7" t="str">
        <f>"460003199304224229"</f>
        <v>460003199304224229</v>
      </c>
      <c r="F375" s="7" t="str">
        <f>"海南热带海洋学院"</f>
        <v>海南热带海洋学院</v>
      </c>
      <c r="G375" s="7" t="str">
        <f t="shared" si="159"/>
        <v>学前教育</v>
      </c>
      <c r="H375" s="7" t="str">
        <f t="shared" ref="H375:H378" si="160">"专科"</f>
        <v>专科</v>
      </c>
      <c r="I375" s="7" t="str">
        <f t="shared" si="135"/>
        <v>幼儿园教师资格</v>
      </c>
    </row>
    <row r="376" customHeight="1" spans="1:9">
      <c r="A376" s="6">
        <v>374</v>
      </c>
      <c r="B376" s="7" t="s">
        <v>11</v>
      </c>
      <c r="C376" s="8" t="str">
        <f>"王娟"</f>
        <v>王娟</v>
      </c>
      <c r="D376" s="8" t="str">
        <f t="shared" si="154"/>
        <v>女</v>
      </c>
      <c r="E376" s="7" t="str">
        <f>"460003199501057060"</f>
        <v>460003199501057060</v>
      </c>
      <c r="F376" s="7" t="str">
        <f>"广西幼儿师范高等专科学校"</f>
        <v>广西幼儿师范高等专科学校</v>
      </c>
      <c r="G376" s="7" t="str">
        <f t="shared" si="159"/>
        <v>学前教育</v>
      </c>
      <c r="H376" s="7" t="str">
        <f t="shared" si="160"/>
        <v>专科</v>
      </c>
      <c r="I376" s="7" t="str">
        <f t="shared" si="135"/>
        <v>幼儿园教师资格</v>
      </c>
    </row>
    <row r="377" customHeight="1" spans="1:9">
      <c r="A377" s="6">
        <v>375</v>
      </c>
      <c r="B377" s="7" t="s">
        <v>10</v>
      </c>
      <c r="C377" s="8" t="str">
        <f>"赵维娣"</f>
        <v>赵维娣</v>
      </c>
      <c r="D377" s="8" t="str">
        <f t="shared" si="154"/>
        <v>女</v>
      </c>
      <c r="E377" s="7" t="str">
        <f>"230125199707253121"</f>
        <v>230125199707253121</v>
      </c>
      <c r="F377" s="7" t="str">
        <f>"哈尔滨幼儿师范高等专科学校"</f>
        <v>哈尔滨幼儿师范高等专科学校</v>
      </c>
      <c r="G377" s="7" t="str">
        <f t="shared" si="159"/>
        <v>学前教育</v>
      </c>
      <c r="H377" s="7" t="str">
        <f t="shared" si="160"/>
        <v>专科</v>
      </c>
      <c r="I377" s="7" t="str">
        <f t="shared" si="135"/>
        <v>幼儿园教师资格</v>
      </c>
    </row>
    <row r="378" customHeight="1" spans="1:9">
      <c r="A378" s="6">
        <v>376</v>
      </c>
      <c r="B378" s="7" t="s">
        <v>10</v>
      </c>
      <c r="C378" s="8" t="str">
        <f>"金玉荣"</f>
        <v>金玉荣</v>
      </c>
      <c r="D378" s="8" t="str">
        <f t="shared" si="154"/>
        <v>女</v>
      </c>
      <c r="E378" s="7" t="str">
        <f>"460021199511153649"</f>
        <v>460021199511153649</v>
      </c>
      <c r="F378" s="7" t="str">
        <f>"海南热带海洋学院"</f>
        <v>海南热带海洋学院</v>
      </c>
      <c r="G378" s="7" t="str">
        <f>"学前教育专业"</f>
        <v>学前教育专业</v>
      </c>
      <c r="H378" s="7" t="str">
        <f t="shared" si="160"/>
        <v>专科</v>
      </c>
      <c r="I378" s="7" t="str">
        <f t="shared" si="135"/>
        <v>幼儿园教师资格</v>
      </c>
    </row>
    <row r="379" customHeight="1" spans="1:9">
      <c r="A379" s="6">
        <v>377</v>
      </c>
      <c r="B379" s="7" t="s">
        <v>10</v>
      </c>
      <c r="C379" s="8" t="str">
        <f>"周小莹"</f>
        <v>周小莹</v>
      </c>
      <c r="D379" s="8" t="str">
        <f t="shared" si="154"/>
        <v>女</v>
      </c>
      <c r="E379" s="7" t="str">
        <f>"460033199511087480"</f>
        <v>460033199511087480</v>
      </c>
      <c r="F379" s="7" t="str">
        <f>"邯郸学院"</f>
        <v>邯郸学院</v>
      </c>
      <c r="G379" s="7" t="str">
        <f>"学前教育专业"</f>
        <v>学前教育专业</v>
      </c>
      <c r="H379" s="7" t="str">
        <f t="shared" ref="H379:H382" si="161">"本科"</f>
        <v>本科</v>
      </c>
      <c r="I379" s="7" t="str">
        <f t="shared" si="135"/>
        <v>幼儿园教师资格</v>
      </c>
    </row>
    <row r="380" customHeight="1" spans="1:9">
      <c r="A380" s="6">
        <v>378</v>
      </c>
      <c r="B380" s="7" t="s">
        <v>11</v>
      </c>
      <c r="C380" s="8" t="str">
        <f>"柯漫"</f>
        <v>柯漫</v>
      </c>
      <c r="D380" s="8" t="str">
        <f t="shared" si="154"/>
        <v>女</v>
      </c>
      <c r="E380" s="7" t="str">
        <f>"460033199307034867"</f>
        <v>460033199307034867</v>
      </c>
      <c r="F380" s="7" t="str">
        <f>"海南师范大学（函授）"</f>
        <v>海南师范大学（函授）</v>
      </c>
      <c r="G380" s="7" t="str">
        <f>"学前教育"</f>
        <v>学前教育</v>
      </c>
      <c r="H380" s="7" t="str">
        <f t="shared" si="161"/>
        <v>本科</v>
      </c>
      <c r="I380" s="7" t="str">
        <f t="shared" si="135"/>
        <v>幼儿园教师资格</v>
      </c>
    </row>
    <row r="381" customHeight="1" spans="1:9">
      <c r="A381" s="6">
        <v>379</v>
      </c>
      <c r="B381" s="7" t="s">
        <v>11</v>
      </c>
      <c r="C381" s="8" t="str">
        <f>"林诗銮"</f>
        <v>林诗銮</v>
      </c>
      <c r="D381" s="8" t="str">
        <f t="shared" si="154"/>
        <v>女</v>
      </c>
      <c r="E381" s="7" t="str">
        <f>"460025199302132441"</f>
        <v>460025199302132441</v>
      </c>
      <c r="F381" s="7" t="str">
        <f>"琼台师范高等专科学校"</f>
        <v>琼台师范高等专科学校</v>
      </c>
      <c r="G381" s="7" t="str">
        <f>"学前教育（英语教育方向）"</f>
        <v>学前教育（英语教育方向）</v>
      </c>
      <c r="H381" s="7" t="str">
        <f t="shared" ref="H381:H385" si="162">"专科"</f>
        <v>专科</v>
      </c>
      <c r="I381" s="7" t="str">
        <f t="shared" si="135"/>
        <v>幼儿园教师资格</v>
      </c>
    </row>
    <row r="382" customHeight="1" spans="1:9">
      <c r="A382" s="6">
        <v>380</v>
      </c>
      <c r="B382" s="7" t="s">
        <v>10</v>
      </c>
      <c r="C382" s="8" t="str">
        <f>"刘洁"</f>
        <v>刘洁</v>
      </c>
      <c r="D382" s="8" t="str">
        <f t="shared" si="154"/>
        <v>女</v>
      </c>
      <c r="E382" s="7" t="str">
        <f>"341222199106087941"</f>
        <v>341222199106087941</v>
      </c>
      <c r="F382" s="7" t="str">
        <f>"海南师范大学"</f>
        <v>海南师范大学</v>
      </c>
      <c r="G382" s="12" t="s">
        <v>14</v>
      </c>
      <c r="H382" s="7" t="str">
        <f t="shared" si="161"/>
        <v>本科</v>
      </c>
      <c r="I382" s="7" t="str">
        <f t="shared" si="135"/>
        <v>幼儿园教师资格</v>
      </c>
    </row>
    <row r="383" customHeight="1" spans="1:9">
      <c r="A383" s="6">
        <v>381</v>
      </c>
      <c r="B383" s="7" t="s">
        <v>10</v>
      </c>
      <c r="C383" s="8" t="str">
        <f>"冯春红"</f>
        <v>冯春红</v>
      </c>
      <c r="D383" s="8" t="str">
        <f t="shared" si="154"/>
        <v>女</v>
      </c>
      <c r="E383" s="7" t="str">
        <f>"460005199902081523"</f>
        <v>460005199902081523</v>
      </c>
      <c r="F383" s="7" t="str">
        <f t="shared" ref="F383:F385" si="163">"琼台师范学院"</f>
        <v>琼台师范学院</v>
      </c>
      <c r="G383" s="7" t="str">
        <f t="shared" ref="G383:G390" si="164">"学前教育"</f>
        <v>学前教育</v>
      </c>
      <c r="H383" s="7" t="str">
        <f t="shared" si="162"/>
        <v>专科</v>
      </c>
      <c r="I383" s="7" t="str">
        <f t="shared" si="135"/>
        <v>幼儿园教师资格</v>
      </c>
    </row>
    <row r="384" customHeight="1" spans="1:9">
      <c r="A384" s="6">
        <v>382</v>
      </c>
      <c r="B384" s="7" t="s">
        <v>12</v>
      </c>
      <c r="C384" s="8" t="str">
        <f>"林春李"</f>
        <v>林春李</v>
      </c>
      <c r="D384" s="8" t="str">
        <f t="shared" si="154"/>
        <v>女</v>
      </c>
      <c r="E384" s="7" t="str">
        <f>"460027199601198523"</f>
        <v>460027199601198523</v>
      </c>
      <c r="F384" s="7" t="str">
        <f t="shared" si="163"/>
        <v>琼台师范学院</v>
      </c>
      <c r="G384" s="12" t="s">
        <v>14</v>
      </c>
      <c r="H384" s="7" t="str">
        <f t="shared" si="162"/>
        <v>专科</v>
      </c>
      <c r="I384" s="7" t="str">
        <f t="shared" si="135"/>
        <v>幼儿园教师资格</v>
      </c>
    </row>
    <row r="385" customHeight="1" spans="1:9">
      <c r="A385" s="6">
        <v>383</v>
      </c>
      <c r="B385" s="7" t="s">
        <v>10</v>
      </c>
      <c r="C385" s="8" t="str">
        <f>"吴永娜"</f>
        <v>吴永娜</v>
      </c>
      <c r="D385" s="8" t="str">
        <f t="shared" si="154"/>
        <v>女</v>
      </c>
      <c r="E385" s="7" t="str">
        <f>"460007199312294986"</f>
        <v>460007199312294986</v>
      </c>
      <c r="F385" s="7" t="str">
        <f t="shared" si="163"/>
        <v>琼台师范学院</v>
      </c>
      <c r="G385" s="7" t="str">
        <f>"学前教育（英语方向）"</f>
        <v>学前教育（英语方向）</v>
      </c>
      <c r="H385" s="7" t="str">
        <f t="shared" si="162"/>
        <v>专科</v>
      </c>
      <c r="I385" s="7" t="str">
        <f t="shared" si="135"/>
        <v>幼儿园教师资格</v>
      </c>
    </row>
    <row r="386" customHeight="1" spans="1:9">
      <c r="A386" s="6">
        <v>384</v>
      </c>
      <c r="B386" s="7" t="s">
        <v>10</v>
      </c>
      <c r="C386" s="8" t="str">
        <f>"黄莹莹"</f>
        <v>黄莹莹</v>
      </c>
      <c r="D386" s="8" t="str">
        <f t="shared" si="154"/>
        <v>女</v>
      </c>
      <c r="E386" s="7" t="str">
        <f>"460003199410245840"</f>
        <v>460003199410245840</v>
      </c>
      <c r="F386" s="7" t="str">
        <f>"重庆第二师范学院"</f>
        <v>重庆第二师范学院</v>
      </c>
      <c r="G386" s="7" t="str">
        <f>"学前教育专业"</f>
        <v>学前教育专业</v>
      </c>
      <c r="H386" s="7" t="str">
        <f>"本科"</f>
        <v>本科</v>
      </c>
      <c r="I386" s="7" t="str">
        <f t="shared" ref="I386:I449" si="165">"幼儿园教师资格"</f>
        <v>幼儿园教师资格</v>
      </c>
    </row>
    <row r="387" customHeight="1" spans="1:9">
      <c r="A387" s="6">
        <v>385</v>
      </c>
      <c r="B387" s="7" t="s">
        <v>10</v>
      </c>
      <c r="C387" s="8" t="str">
        <f>"欧柳汕"</f>
        <v>欧柳汕</v>
      </c>
      <c r="D387" s="8" t="str">
        <f t="shared" si="154"/>
        <v>女</v>
      </c>
      <c r="E387" s="7" t="str">
        <f>"460004199802212024"</f>
        <v>460004199802212024</v>
      </c>
      <c r="F387" s="7" t="str">
        <f>"琼台师范学院"</f>
        <v>琼台师范学院</v>
      </c>
      <c r="G387" s="7" t="str">
        <f t="shared" si="164"/>
        <v>学前教育</v>
      </c>
      <c r="H387" s="7" t="str">
        <f>"专科(高职)"</f>
        <v>专科(高职)</v>
      </c>
      <c r="I387" s="7" t="str">
        <f t="shared" si="165"/>
        <v>幼儿园教师资格</v>
      </c>
    </row>
    <row r="388" customHeight="1" spans="1:9">
      <c r="A388" s="6">
        <v>386</v>
      </c>
      <c r="B388" s="7" t="s">
        <v>12</v>
      </c>
      <c r="C388" s="8" t="str">
        <f>"王春艳"</f>
        <v>王春艳</v>
      </c>
      <c r="D388" s="8" t="str">
        <f t="shared" si="154"/>
        <v>女</v>
      </c>
      <c r="E388" s="7" t="str">
        <f>"460007199211065025"</f>
        <v>460007199211065025</v>
      </c>
      <c r="F388" s="7" t="str">
        <f>"琼台师范高等专科学校"</f>
        <v>琼台师范高等专科学校</v>
      </c>
      <c r="G388" s="7" t="str">
        <f t="shared" si="164"/>
        <v>学前教育</v>
      </c>
      <c r="H388" s="7" t="str">
        <f t="shared" ref="H388:H393" si="166">"专科"</f>
        <v>专科</v>
      </c>
      <c r="I388" s="7" t="str">
        <f t="shared" si="165"/>
        <v>幼儿园教师资格</v>
      </c>
    </row>
    <row r="389" customHeight="1" spans="1:9">
      <c r="A389" s="6">
        <v>387</v>
      </c>
      <c r="B389" s="7" t="s">
        <v>10</v>
      </c>
      <c r="C389" s="8" t="str">
        <f>"刘丽桃"</f>
        <v>刘丽桃</v>
      </c>
      <c r="D389" s="8" t="str">
        <f t="shared" si="154"/>
        <v>女</v>
      </c>
      <c r="E389" s="7" t="str">
        <f>"460003199504092021"</f>
        <v>460003199504092021</v>
      </c>
      <c r="F389" s="7" t="str">
        <f>"广西幼儿师范高等专科学校"</f>
        <v>广西幼儿师范高等专科学校</v>
      </c>
      <c r="G389" s="7" t="str">
        <f t="shared" si="164"/>
        <v>学前教育</v>
      </c>
      <c r="H389" s="12" t="s">
        <v>13</v>
      </c>
      <c r="I389" s="7" t="str">
        <f t="shared" si="165"/>
        <v>幼儿园教师资格</v>
      </c>
    </row>
    <row r="390" customHeight="1" spans="1:9">
      <c r="A390" s="6">
        <v>388</v>
      </c>
      <c r="B390" s="7" t="s">
        <v>10</v>
      </c>
      <c r="C390" s="8" t="str">
        <f>"王晨迅"</f>
        <v>王晨迅</v>
      </c>
      <c r="D390" s="8" t="str">
        <f t="shared" si="154"/>
        <v>女</v>
      </c>
      <c r="E390" s="7" t="str">
        <f>"469023200102011320"</f>
        <v>469023200102011320</v>
      </c>
      <c r="F390" s="7" t="str">
        <f t="shared" ref="F390:F395" si="167">"琼台师范学院"</f>
        <v>琼台师范学院</v>
      </c>
      <c r="G390" s="7" t="str">
        <f t="shared" si="164"/>
        <v>学前教育</v>
      </c>
      <c r="H390" s="7" t="str">
        <f t="shared" si="166"/>
        <v>专科</v>
      </c>
      <c r="I390" s="7" t="str">
        <f t="shared" si="165"/>
        <v>幼儿园教师资格</v>
      </c>
    </row>
    <row r="391" customHeight="1" spans="1:9">
      <c r="A391" s="6">
        <v>389</v>
      </c>
      <c r="B391" s="7" t="s">
        <v>10</v>
      </c>
      <c r="C391" s="8" t="str">
        <f>"王惠"</f>
        <v>王惠</v>
      </c>
      <c r="D391" s="8" t="str">
        <f t="shared" si="154"/>
        <v>女</v>
      </c>
      <c r="E391" s="7" t="str">
        <f>"469024199505044427"</f>
        <v>469024199505044427</v>
      </c>
      <c r="F391" s="7" t="str">
        <f>"海南热带海洋学院"</f>
        <v>海南热带海洋学院</v>
      </c>
      <c r="G391" s="7" t="str">
        <f>"学前教育专业"</f>
        <v>学前教育专业</v>
      </c>
      <c r="H391" s="7" t="str">
        <f t="shared" si="166"/>
        <v>专科</v>
      </c>
      <c r="I391" s="7" t="str">
        <f t="shared" si="165"/>
        <v>幼儿园教师资格</v>
      </c>
    </row>
    <row r="392" customHeight="1" spans="1:9">
      <c r="A392" s="6">
        <v>390</v>
      </c>
      <c r="B392" s="7" t="s">
        <v>10</v>
      </c>
      <c r="C392" s="8" t="str">
        <f>"文芳芳"</f>
        <v>文芳芳</v>
      </c>
      <c r="D392" s="8" t="str">
        <f t="shared" si="154"/>
        <v>女</v>
      </c>
      <c r="E392" s="7" t="str">
        <f>"460006199209112324"</f>
        <v>460006199209112324</v>
      </c>
      <c r="F392" s="7" t="str">
        <f>"琼台师范高等专科院校"</f>
        <v>琼台师范高等专科院校</v>
      </c>
      <c r="G392" s="7" t="str">
        <f>"学前教育专业"</f>
        <v>学前教育专业</v>
      </c>
      <c r="H392" s="7" t="str">
        <f t="shared" si="166"/>
        <v>专科</v>
      </c>
      <c r="I392" s="7" t="str">
        <f t="shared" si="165"/>
        <v>幼儿园教师资格</v>
      </c>
    </row>
    <row r="393" customHeight="1" spans="1:9">
      <c r="A393" s="6">
        <v>391</v>
      </c>
      <c r="B393" s="7" t="s">
        <v>10</v>
      </c>
      <c r="C393" s="8" t="str">
        <f>"刘菲菲"</f>
        <v>刘菲菲</v>
      </c>
      <c r="D393" s="8" t="str">
        <f t="shared" si="154"/>
        <v>女</v>
      </c>
      <c r="E393" s="7" t="str">
        <f>"460102199803090025"</f>
        <v>460102199803090025</v>
      </c>
      <c r="F393" s="7" t="str">
        <f t="shared" si="167"/>
        <v>琼台师范学院</v>
      </c>
      <c r="G393" s="7" t="str">
        <f t="shared" ref="G393:G410" si="168">"学前教育"</f>
        <v>学前教育</v>
      </c>
      <c r="H393" s="7" t="str">
        <f t="shared" si="166"/>
        <v>专科</v>
      </c>
      <c r="I393" s="7" t="str">
        <f t="shared" si="165"/>
        <v>幼儿园教师资格</v>
      </c>
    </row>
    <row r="394" customHeight="1" spans="1:9">
      <c r="A394" s="6">
        <v>392</v>
      </c>
      <c r="B394" s="7" t="s">
        <v>10</v>
      </c>
      <c r="C394" s="8" t="str">
        <f>"符滢坤"</f>
        <v>符滢坤</v>
      </c>
      <c r="D394" s="8" t="str">
        <f t="shared" si="154"/>
        <v>女</v>
      </c>
      <c r="E394" s="7" t="str">
        <f>"460030199206274221"</f>
        <v>460030199206274221</v>
      </c>
      <c r="F394" s="7" t="str">
        <f>"江西科技学院"</f>
        <v>江西科技学院</v>
      </c>
      <c r="G394" s="7" t="str">
        <f t="shared" si="168"/>
        <v>学前教育</v>
      </c>
      <c r="H394" s="7" t="str">
        <f>"本科"</f>
        <v>本科</v>
      </c>
      <c r="I394" s="7" t="str">
        <f t="shared" si="165"/>
        <v>幼儿园教师资格</v>
      </c>
    </row>
    <row r="395" customHeight="1" spans="1:9">
      <c r="A395" s="6">
        <v>393</v>
      </c>
      <c r="B395" s="7" t="s">
        <v>11</v>
      </c>
      <c r="C395" s="8" t="str">
        <f>"文呈来"</f>
        <v>文呈来</v>
      </c>
      <c r="D395" s="8" t="str">
        <f t="shared" si="154"/>
        <v>女</v>
      </c>
      <c r="E395" s="7" t="str">
        <f>"460007199208155003"</f>
        <v>460007199208155003</v>
      </c>
      <c r="F395" s="7" t="str">
        <f t="shared" si="167"/>
        <v>琼台师范学院</v>
      </c>
      <c r="G395" s="7" t="str">
        <f t="shared" si="168"/>
        <v>学前教育</v>
      </c>
      <c r="H395" s="7" t="str">
        <f t="shared" ref="H395:H399" si="169">"专科"</f>
        <v>专科</v>
      </c>
      <c r="I395" s="7" t="str">
        <f t="shared" si="165"/>
        <v>幼儿园教师资格</v>
      </c>
    </row>
    <row r="396" customHeight="1" spans="1:9">
      <c r="A396" s="6">
        <v>394</v>
      </c>
      <c r="B396" s="7" t="s">
        <v>12</v>
      </c>
      <c r="C396" s="8" t="str">
        <f>"吴冰虹"</f>
        <v>吴冰虹</v>
      </c>
      <c r="D396" s="8" t="str">
        <f t="shared" si="154"/>
        <v>女</v>
      </c>
      <c r="E396" s="7" t="str">
        <f>"46000619970610064X"</f>
        <v>46000619970610064X</v>
      </c>
      <c r="F396" s="7" t="str">
        <f>"琼台书院"</f>
        <v>琼台书院</v>
      </c>
      <c r="G396" s="7" t="str">
        <f t="shared" si="168"/>
        <v>学前教育</v>
      </c>
      <c r="H396" s="7" t="str">
        <f t="shared" si="169"/>
        <v>专科</v>
      </c>
      <c r="I396" s="7" t="str">
        <f t="shared" si="165"/>
        <v>幼儿园教师资格</v>
      </c>
    </row>
    <row r="397" customHeight="1" spans="1:9">
      <c r="A397" s="6">
        <v>395</v>
      </c>
      <c r="B397" s="7" t="s">
        <v>10</v>
      </c>
      <c r="C397" s="8" t="str">
        <f>"吴莹"</f>
        <v>吴莹</v>
      </c>
      <c r="D397" s="8" t="str">
        <f t="shared" si="154"/>
        <v>女</v>
      </c>
      <c r="E397" s="7" t="str">
        <f>"460102199609290920"</f>
        <v>460102199609290920</v>
      </c>
      <c r="F397" s="7" t="str">
        <f>"曲靖师范学院"</f>
        <v>曲靖师范学院</v>
      </c>
      <c r="G397" s="7" t="str">
        <f t="shared" si="168"/>
        <v>学前教育</v>
      </c>
      <c r="H397" s="7" t="str">
        <f t="shared" ref="H397:H401" si="170">"本科"</f>
        <v>本科</v>
      </c>
      <c r="I397" s="7" t="str">
        <f t="shared" si="165"/>
        <v>幼儿园教师资格</v>
      </c>
    </row>
    <row r="398" customHeight="1" spans="1:9">
      <c r="A398" s="6">
        <v>396</v>
      </c>
      <c r="B398" s="7" t="s">
        <v>10</v>
      </c>
      <c r="C398" s="8" t="str">
        <f>"吴小河"</f>
        <v>吴小河</v>
      </c>
      <c r="D398" s="8" t="str">
        <f t="shared" si="154"/>
        <v>女</v>
      </c>
      <c r="E398" s="7" t="str">
        <f>"469023199903044127"</f>
        <v>469023199903044127</v>
      </c>
      <c r="F398" s="7" t="str">
        <f>"琼台师范学院"</f>
        <v>琼台师范学院</v>
      </c>
      <c r="G398" s="7" t="str">
        <f t="shared" si="168"/>
        <v>学前教育</v>
      </c>
      <c r="H398" s="7" t="str">
        <f t="shared" si="169"/>
        <v>专科</v>
      </c>
      <c r="I398" s="7" t="str">
        <f t="shared" si="165"/>
        <v>幼儿园教师资格</v>
      </c>
    </row>
    <row r="399" customHeight="1" spans="1:9">
      <c r="A399" s="6">
        <v>397</v>
      </c>
      <c r="B399" s="7" t="s">
        <v>11</v>
      </c>
      <c r="C399" s="8" t="str">
        <f>"文婉虹"</f>
        <v>文婉虹</v>
      </c>
      <c r="D399" s="8" t="str">
        <f t="shared" si="154"/>
        <v>女</v>
      </c>
      <c r="E399" s="7" t="str">
        <f>"460007199605204964"</f>
        <v>460007199605204964</v>
      </c>
      <c r="F399" s="7" t="str">
        <f>"海南热带海洋学院"</f>
        <v>海南热带海洋学院</v>
      </c>
      <c r="G399" s="7" t="str">
        <f t="shared" si="168"/>
        <v>学前教育</v>
      </c>
      <c r="H399" s="7" t="str">
        <f t="shared" si="169"/>
        <v>专科</v>
      </c>
      <c r="I399" s="7" t="str">
        <f t="shared" si="165"/>
        <v>幼儿园教师资格</v>
      </c>
    </row>
    <row r="400" customHeight="1" spans="1:9">
      <c r="A400" s="6">
        <v>398</v>
      </c>
      <c r="B400" s="7" t="s">
        <v>10</v>
      </c>
      <c r="C400" s="8" t="str">
        <f>"陈文丹"</f>
        <v>陈文丹</v>
      </c>
      <c r="D400" s="8" t="str">
        <f t="shared" si="154"/>
        <v>女</v>
      </c>
      <c r="E400" s="7" t="str">
        <f>"460003199306107763"</f>
        <v>460003199306107763</v>
      </c>
      <c r="F400" s="7" t="str">
        <f t="shared" ref="F400:F406" si="171">"海南师范大学"</f>
        <v>海南师范大学</v>
      </c>
      <c r="G400" s="7" t="str">
        <f t="shared" si="168"/>
        <v>学前教育</v>
      </c>
      <c r="H400" s="7" t="str">
        <f t="shared" si="170"/>
        <v>本科</v>
      </c>
      <c r="I400" s="7" t="str">
        <f t="shared" si="165"/>
        <v>幼儿园教师资格</v>
      </c>
    </row>
    <row r="401" customHeight="1" spans="1:9">
      <c r="A401" s="6">
        <v>399</v>
      </c>
      <c r="B401" s="7" t="s">
        <v>10</v>
      </c>
      <c r="C401" s="8" t="str">
        <f>"伍昭伶"</f>
        <v>伍昭伶</v>
      </c>
      <c r="D401" s="8" t="str">
        <f t="shared" si="154"/>
        <v>女</v>
      </c>
      <c r="E401" s="7" t="str">
        <f>"431122199609187123"</f>
        <v>431122199609187123</v>
      </c>
      <c r="F401" s="7" t="str">
        <f>"河北省廊坊师范学院"</f>
        <v>河北省廊坊师范学院</v>
      </c>
      <c r="G401" s="7" t="str">
        <f t="shared" si="168"/>
        <v>学前教育</v>
      </c>
      <c r="H401" s="7" t="str">
        <f t="shared" si="170"/>
        <v>本科</v>
      </c>
      <c r="I401" s="7" t="str">
        <f t="shared" si="165"/>
        <v>幼儿园教师资格</v>
      </c>
    </row>
    <row r="402" customHeight="1" spans="1:9">
      <c r="A402" s="6">
        <v>400</v>
      </c>
      <c r="B402" s="7" t="s">
        <v>12</v>
      </c>
      <c r="C402" s="8" t="str">
        <f>"周斯秀"</f>
        <v>周斯秀</v>
      </c>
      <c r="D402" s="8" t="str">
        <f t="shared" si="154"/>
        <v>女</v>
      </c>
      <c r="E402" s="7" t="str">
        <f>"460031199710056422"</f>
        <v>460031199710056422</v>
      </c>
      <c r="F402" s="7" t="str">
        <f>"琼台师范学院"</f>
        <v>琼台师范学院</v>
      </c>
      <c r="G402" s="7" t="str">
        <f t="shared" si="168"/>
        <v>学前教育</v>
      </c>
      <c r="H402" s="7" t="str">
        <f t="shared" ref="H402:H409" si="172">"专科"</f>
        <v>专科</v>
      </c>
      <c r="I402" s="7" t="str">
        <f t="shared" si="165"/>
        <v>幼儿园教师资格</v>
      </c>
    </row>
    <row r="403" customHeight="1" spans="1:9">
      <c r="A403" s="6">
        <v>401</v>
      </c>
      <c r="B403" s="7" t="s">
        <v>10</v>
      </c>
      <c r="C403" s="8" t="str">
        <f>"赵欣欣"</f>
        <v>赵欣欣</v>
      </c>
      <c r="D403" s="8" t="str">
        <f t="shared" si="154"/>
        <v>女</v>
      </c>
      <c r="E403" s="7" t="str">
        <f>"460007199707172262"</f>
        <v>460007199707172262</v>
      </c>
      <c r="F403" s="7" t="str">
        <f t="shared" si="171"/>
        <v>海南师范大学</v>
      </c>
      <c r="G403" s="7" t="str">
        <f t="shared" si="168"/>
        <v>学前教育</v>
      </c>
      <c r="H403" s="7" t="str">
        <f>"本科"</f>
        <v>本科</v>
      </c>
      <c r="I403" s="7" t="str">
        <f t="shared" si="165"/>
        <v>幼儿园教师资格</v>
      </c>
    </row>
    <row r="404" customHeight="1" spans="1:9">
      <c r="A404" s="6">
        <v>402</v>
      </c>
      <c r="B404" s="7" t="s">
        <v>10</v>
      </c>
      <c r="C404" s="8" t="str">
        <f>"林娜"</f>
        <v>林娜</v>
      </c>
      <c r="D404" s="8" t="str">
        <f t="shared" si="154"/>
        <v>女</v>
      </c>
      <c r="E404" s="7" t="str">
        <f>"469003199303036726"</f>
        <v>469003199303036726</v>
      </c>
      <c r="F404" s="7" t="str">
        <f>"海南热带海洋学院"</f>
        <v>海南热带海洋学院</v>
      </c>
      <c r="G404" s="7" t="str">
        <f t="shared" si="168"/>
        <v>学前教育</v>
      </c>
      <c r="H404" s="7" t="str">
        <f t="shared" si="172"/>
        <v>专科</v>
      </c>
      <c r="I404" s="7" t="str">
        <f t="shared" si="165"/>
        <v>幼儿园教师资格</v>
      </c>
    </row>
    <row r="405" customHeight="1" spans="1:9">
      <c r="A405" s="6">
        <v>403</v>
      </c>
      <c r="B405" s="7" t="s">
        <v>11</v>
      </c>
      <c r="C405" s="8" t="str">
        <f>"王语婧"</f>
        <v>王语婧</v>
      </c>
      <c r="D405" s="8" t="str">
        <f t="shared" si="154"/>
        <v>女</v>
      </c>
      <c r="E405" s="7" t="str">
        <f>"469024199512096022"</f>
        <v>469024199512096022</v>
      </c>
      <c r="F405" s="7" t="str">
        <f t="shared" si="171"/>
        <v>海南师范大学</v>
      </c>
      <c r="G405" s="7" t="str">
        <f t="shared" si="168"/>
        <v>学前教育</v>
      </c>
      <c r="H405" s="7" t="str">
        <f t="shared" si="172"/>
        <v>专科</v>
      </c>
      <c r="I405" s="7" t="str">
        <f t="shared" si="165"/>
        <v>幼儿园教师资格</v>
      </c>
    </row>
    <row r="406" customHeight="1" spans="1:9">
      <c r="A406" s="6">
        <v>404</v>
      </c>
      <c r="B406" s="7" t="s">
        <v>10</v>
      </c>
      <c r="C406" s="8" t="str">
        <f>"饶朝霞"</f>
        <v>饶朝霞</v>
      </c>
      <c r="D406" s="8" t="str">
        <f t="shared" si="154"/>
        <v>女</v>
      </c>
      <c r="E406" s="7" t="str">
        <f>"460004199409172820"</f>
        <v>460004199409172820</v>
      </c>
      <c r="F406" s="7" t="str">
        <f t="shared" si="171"/>
        <v>海南师范大学</v>
      </c>
      <c r="G406" s="7" t="str">
        <f t="shared" si="168"/>
        <v>学前教育</v>
      </c>
      <c r="H406" s="7" t="str">
        <f t="shared" si="172"/>
        <v>专科</v>
      </c>
      <c r="I406" s="7" t="str">
        <f t="shared" si="165"/>
        <v>幼儿园教师资格</v>
      </c>
    </row>
    <row r="407" customHeight="1" spans="1:9">
      <c r="A407" s="6">
        <v>405</v>
      </c>
      <c r="B407" s="7" t="s">
        <v>12</v>
      </c>
      <c r="C407" s="8" t="str">
        <f>"许志珠"</f>
        <v>许志珠</v>
      </c>
      <c r="D407" s="8" t="str">
        <f t="shared" si="154"/>
        <v>女</v>
      </c>
      <c r="E407" s="7" t="str">
        <f>"460007199303115368"</f>
        <v>460007199303115368</v>
      </c>
      <c r="F407" s="7" t="str">
        <f>"琼台师范高等专科学校"</f>
        <v>琼台师范高等专科学校</v>
      </c>
      <c r="G407" s="7" t="str">
        <f t="shared" si="168"/>
        <v>学前教育</v>
      </c>
      <c r="H407" s="7" t="str">
        <f t="shared" si="172"/>
        <v>专科</v>
      </c>
      <c r="I407" s="7" t="str">
        <f t="shared" si="165"/>
        <v>幼儿园教师资格</v>
      </c>
    </row>
    <row r="408" customHeight="1" spans="1:9">
      <c r="A408" s="6">
        <v>406</v>
      </c>
      <c r="B408" s="7" t="s">
        <v>12</v>
      </c>
      <c r="C408" s="8" t="str">
        <f>"薛小蕾"</f>
        <v>薛小蕾</v>
      </c>
      <c r="D408" s="8" t="str">
        <f t="shared" si="154"/>
        <v>女</v>
      </c>
      <c r="E408" s="7" t="str">
        <f>"46002619960213092X"</f>
        <v>46002619960213092X</v>
      </c>
      <c r="F408" s="7" t="str">
        <f t="shared" ref="F408:F412" si="173">"琼台师范学院"</f>
        <v>琼台师范学院</v>
      </c>
      <c r="G408" s="7" t="str">
        <f t="shared" si="168"/>
        <v>学前教育</v>
      </c>
      <c r="H408" s="7" t="str">
        <f t="shared" si="172"/>
        <v>专科</v>
      </c>
      <c r="I408" s="7" t="str">
        <f t="shared" si="165"/>
        <v>幼儿园教师资格</v>
      </c>
    </row>
    <row r="409" customHeight="1" spans="1:9">
      <c r="A409" s="6">
        <v>407</v>
      </c>
      <c r="B409" s="7" t="s">
        <v>11</v>
      </c>
      <c r="C409" s="8" t="str">
        <f>"黄和庆"</f>
        <v>黄和庆</v>
      </c>
      <c r="D409" s="8" t="str">
        <f t="shared" si="154"/>
        <v>女</v>
      </c>
      <c r="E409" s="7" t="str">
        <f>"460004199712244620"</f>
        <v>460004199712244620</v>
      </c>
      <c r="F409" s="7" t="str">
        <f>"海南师范大学"</f>
        <v>海南师范大学</v>
      </c>
      <c r="G409" s="7" t="str">
        <f t="shared" si="168"/>
        <v>学前教育</v>
      </c>
      <c r="H409" s="7" t="str">
        <f t="shared" si="172"/>
        <v>专科</v>
      </c>
      <c r="I409" s="7" t="str">
        <f t="shared" si="165"/>
        <v>幼儿园教师资格</v>
      </c>
    </row>
    <row r="410" customHeight="1" spans="1:9">
      <c r="A410" s="6">
        <v>408</v>
      </c>
      <c r="B410" s="7" t="s">
        <v>11</v>
      </c>
      <c r="C410" s="8" t="str">
        <f>"王美丽"</f>
        <v>王美丽</v>
      </c>
      <c r="D410" s="8" t="str">
        <f t="shared" si="154"/>
        <v>女</v>
      </c>
      <c r="E410" s="7" t="str">
        <f>"460034199407265028"</f>
        <v>460034199407265028</v>
      </c>
      <c r="F410" s="7" t="str">
        <f>"云南外事外语职业学院"</f>
        <v>云南外事外语职业学院</v>
      </c>
      <c r="G410" s="7" t="str">
        <f t="shared" si="168"/>
        <v>学前教育</v>
      </c>
      <c r="H410" s="7" t="str">
        <f>"专科(高职)"</f>
        <v>专科(高职)</v>
      </c>
      <c r="I410" s="7" t="str">
        <f t="shared" si="165"/>
        <v>幼儿园教师资格</v>
      </c>
    </row>
    <row r="411" customHeight="1" spans="1:9">
      <c r="A411" s="6">
        <v>409</v>
      </c>
      <c r="B411" s="7" t="s">
        <v>10</v>
      </c>
      <c r="C411" s="8" t="str">
        <f>"柳重艳"</f>
        <v>柳重艳</v>
      </c>
      <c r="D411" s="8" t="str">
        <f t="shared" si="154"/>
        <v>女</v>
      </c>
      <c r="E411" s="7" t="str">
        <f>"460032199503177666"</f>
        <v>460032199503177666</v>
      </c>
      <c r="F411" s="7" t="str">
        <f t="shared" si="173"/>
        <v>琼台师范学院</v>
      </c>
      <c r="G411" s="7" t="str">
        <f>"学前教育英语方向"</f>
        <v>学前教育英语方向</v>
      </c>
      <c r="H411" s="7" t="str">
        <f t="shared" ref="H411:H419" si="174">"专科"</f>
        <v>专科</v>
      </c>
      <c r="I411" s="7" t="str">
        <f t="shared" si="165"/>
        <v>幼儿园教师资格</v>
      </c>
    </row>
    <row r="412" customHeight="1" spans="1:9">
      <c r="A412" s="6">
        <v>410</v>
      </c>
      <c r="B412" s="7" t="s">
        <v>12</v>
      </c>
      <c r="C412" s="8" t="str">
        <f>"黄丹丹"</f>
        <v>黄丹丹</v>
      </c>
      <c r="D412" s="8" t="str">
        <f t="shared" si="154"/>
        <v>女</v>
      </c>
      <c r="E412" s="7" t="str">
        <f>"460033199605283888"</f>
        <v>460033199605283888</v>
      </c>
      <c r="F412" s="7" t="str">
        <f t="shared" si="173"/>
        <v>琼台师范学院</v>
      </c>
      <c r="G412" s="7" t="str">
        <f t="shared" ref="G412:G421" si="175">"学前教育"</f>
        <v>学前教育</v>
      </c>
      <c r="H412" s="7" t="str">
        <f t="shared" si="174"/>
        <v>专科</v>
      </c>
      <c r="I412" s="7" t="str">
        <f t="shared" si="165"/>
        <v>幼儿园教师资格</v>
      </c>
    </row>
    <row r="413" customHeight="1" spans="1:9">
      <c r="A413" s="6">
        <v>411</v>
      </c>
      <c r="B413" s="7" t="s">
        <v>10</v>
      </c>
      <c r="C413" s="8" t="str">
        <f>"陈小妮"</f>
        <v>陈小妮</v>
      </c>
      <c r="D413" s="8" t="str">
        <f t="shared" si="154"/>
        <v>女</v>
      </c>
      <c r="E413" s="7" t="str">
        <f>"460003199312270049"</f>
        <v>460003199312270049</v>
      </c>
      <c r="F413" s="7" t="str">
        <f>"曲靖师范学院"</f>
        <v>曲靖师范学院</v>
      </c>
      <c r="G413" s="7" t="str">
        <f t="shared" si="175"/>
        <v>学前教育</v>
      </c>
      <c r="H413" s="7" t="str">
        <f>"本科"</f>
        <v>本科</v>
      </c>
      <c r="I413" s="7" t="str">
        <f t="shared" si="165"/>
        <v>幼儿园教师资格</v>
      </c>
    </row>
    <row r="414" customHeight="1" spans="1:9">
      <c r="A414" s="6">
        <v>412</v>
      </c>
      <c r="B414" s="7" t="s">
        <v>11</v>
      </c>
      <c r="C414" s="8" t="str">
        <f>"王明禧"</f>
        <v>王明禧</v>
      </c>
      <c r="D414" s="8" t="str">
        <f t="shared" si="154"/>
        <v>女</v>
      </c>
      <c r="E414" s="7" t="str">
        <f>"46000319940105206X"</f>
        <v>46000319940105206X</v>
      </c>
      <c r="F414" s="7" t="str">
        <f t="shared" ref="F414:F417" si="176">"琼台师范学院"</f>
        <v>琼台师范学院</v>
      </c>
      <c r="G414" s="7" t="str">
        <f>"学前教育专业"</f>
        <v>学前教育专业</v>
      </c>
      <c r="H414" s="7" t="str">
        <f t="shared" si="174"/>
        <v>专科</v>
      </c>
      <c r="I414" s="7" t="str">
        <f t="shared" si="165"/>
        <v>幼儿园教师资格</v>
      </c>
    </row>
    <row r="415" customHeight="1" spans="1:9">
      <c r="A415" s="6">
        <v>413</v>
      </c>
      <c r="B415" s="7" t="s">
        <v>12</v>
      </c>
      <c r="C415" s="8" t="str">
        <f>"潘虹宇"</f>
        <v>潘虹宇</v>
      </c>
      <c r="D415" s="8" t="str">
        <f t="shared" si="154"/>
        <v>女</v>
      </c>
      <c r="E415" s="7" t="str">
        <f>"46000619900128782X"</f>
        <v>46000619900128782X</v>
      </c>
      <c r="F415" s="7" t="str">
        <f>"江西省井冈山大学"</f>
        <v>江西省井冈山大学</v>
      </c>
      <c r="G415" s="7" t="str">
        <f t="shared" si="175"/>
        <v>学前教育</v>
      </c>
      <c r="H415" s="7" t="str">
        <f t="shared" si="174"/>
        <v>专科</v>
      </c>
      <c r="I415" s="7" t="str">
        <f t="shared" si="165"/>
        <v>幼儿园教师资格</v>
      </c>
    </row>
    <row r="416" customHeight="1" spans="1:9">
      <c r="A416" s="6">
        <v>414</v>
      </c>
      <c r="B416" s="7" t="s">
        <v>10</v>
      </c>
      <c r="C416" s="8" t="str">
        <f>"莫艳菲"</f>
        <v>莫艳菲</v>
      </c>
      <c r="D416" s="8" t="str">
        <f t="shared" si="154"/>
        <v>女</v>
      </c>
      <c r="E416" s="7" t="str">
        <f>"460025199201200329"</f>
        <v>460025199201200329</v>
      </c>
      <c r="F416" s="7" t="str">
        <f t="shared" si="176"/>
        <v>琼台师范学院</v>
      </c>
      <c r="G416" s="7" t="str">
        <f t="shared" si="175"/>
        <v>学前教育</v>
      </c>
      <c r="H416" s="7" t="str">
        <f t="shared" si="174"/>
        <v>专科</v>
      </c>
      <c r="I416" s="7" t="str">
        <f t="shared" si="165"/>
        <v>幼儿园教师资格</v>
      </c>
    </row>
    <row r="417" customHeight="1" spans="1:9">
      <c r="A417" s="6">
        <v>415</v>
      </c>
      <c r="B417" s="7" t="s">
        <v>10</v>
      </c>
      <c r="C417" s="8" t="str">
        <f>"袁真真"</f>
        <v>袁真真</v>
      </c>
      <c r="D417" s="8" t="str">
        <f t="shared" si="154"/>
        <v>女</v>
      </c>
      <c r="E417" s="7" t="str">
        <f>"460028199606052423"</f>
        <v>460028199606052423</v>
      </c>
      <c r="F417" s="7" t="str">
        <f t="shared" si="176"/>
        <v>琼台师范学院</v>
      </c>
      <c r="G417" s="7" t="str">
        <f t="shared" si="175"/>
        <v>学前教育</v>
      </c>
      <c r="H417" s="7" t="str">
        <f t="shared" si="174"/>
        <v>专科</v>
      </c>
      <c r="I417" s="7" t="str">
        <f t="shared" si="165"/>
        <v>幼儿园教师资格</v>
      </c>
    </row>
    <row r="418" customHeight="1" spans="1:9">
      <c r="A418" s="6">
        <v>416</v>
      </c>
      <c r="B418" s="7" t="s">
        <v>11</v>
      </c>
      <c r="C418" s="8" t="str">
        <f>"符定喜"</f>
        <v>符定喜</v>
      </c>
      <c r="D418" s="8" t="str">
        <f t="shared" si="154"/>
        <v>女</v>
      </c>
      <c r="E418" s="7" t="str">
        <f>"469003199812292429"</f>
        <v>469003199812292429</v>
      </c>
      <c r="F418" s="7" t="str">
        <f>"鹤岗师范高等专科学校"</f>
        <v>鹤岗师范高等专科学校</v>
      </c>
      <c r="G418" s="7" t="str">
        <f t="shared" si="175"/>
        <v>学前教育</v>
      </c>
      <c r="H418" s="7" t="str">
        <f t="shared" si="174"/>
        <v>专科</v>
      </c>
      <c r="I418" s="7" t="str">
        <f t="shared" si="165"/>
        <v>幼儿园教师资格</v>
      </c>
    </row>
    <row r="419" customHeight="1" spans="1:9">
      <c r="A419" s="6">
        <v>417</v>
      </c>
      <c r="B419" s="7" t="s">
        <v>11</v>
      </c>
      <c r="C419" s="8" t="str">
        <f>"林小珍"</f>
        <v>林小珍</v>
      </c>
      <c r="D419" s="8" t="str">
        <f t="shared" si="154"/>
        <v>女</v>
      </c>
      <c r="E419" s="7" t="str">
        <f>"460028199510110043"</f>
        <v>460028199510110043</v>
      </c>
      <c r="F419" s="7" t="str">
        <f>"琼台师范学院"</f>
        <v>琼台师范学院</v>
      </c>
      <c r="G419" s="7" t="str">
        <f t="shared" si="175"/>
        <v>学前教育</v>
      </c>
      <c r="H419" s="7" t="str">
        <f t="shared" si="174"/>
        <v>专科</v>
      </c>
      <c r="I419" s="7" t="str">
        <f t="shared" si="165"/>
        <v>幼儿园教师资格</v>
      </c>
    </row>
    <row r="420" customHeight="1" spans="1:9">
      <c r="A420" s="6">
        <v>418</v>
      </c>
      <c r="B420" s="7" t="s">
        <v>11</v>
      </c>
      <c r="C420" s="8" t="str">
        <f>"唐世锐"</f>
        <v>唐世锐</v>
      </c>
      <c r="D420" s="8" t="str">
        <f>"男"</f>
        <v>男</v>
      </c>
      <c r="E420" s="7" t="str">
        <f>"460005199605082511"</f>
        <v>460005199605082511</v>
      </c>
      <c r="F420" s="7" t="str">
        <f>"忻州师范学院"</f>
        <v>忻州师范学院</v>
      </c>
      <c r="G420" s="7" t="str">
        <f t="shared" si="175"/>
        <v>学前教育</v>
      </c>
      <c r="H420" s="7" t="str">
        <f>"本科"</f>
        <v>本科</v>
      </c>
      <c r="I420" s="7" t="str">
        <f t="shared" si="165"/>
        <v>幼儿园教师资格</v>
      </c>
    </row>
    <row r="421" customHeight="1" spans="1:9">
      <c r="A421" s="6">
        <v>419</v>
      </c>
      <c r="B421" s="7" t="s">
        <v>11</v>
      </c>
      <c r="C421" s="8" t="str">
        <f>"许粤秀"</f>
        <v>许粤秀</v>
      </c>
      <c r="D421" s="8" t="str">
        <f t="shared" ref="D421:D434" si="177">"女"</f>
        <v>女</v>
      </c>
      <c r="E421" s="7" t="str">
        <f>"460007199610085365"</f>
        <v>460007199610085365</v>
      </c>
      <c r="F421" s="7" t="str">
        <f>"琼台师范学院"</f>
        <v>琼台师范学院</v>
      </c>
      <c r="G421" s="7" t="str">
        <f t="shared" si="175"/>
        <v>学前教育</v>
      </c>
      <c r="H421" s="7" t="str">
        <f t="shared" ref="H421:H425" si="178">"专科"</f>
        <v>专科</v>
      </c>
      <c r="I421" s="7" t="str">
        <f t="shared" si="165"/>
        <v>幼儿园教师资格</v>
      </c>
    </row>
    <row r="422" customHeight="1" spans="1:9">
      <c r="A422" s="6">
        <v>420</v>
      </c>
      <c r="B422" s="7" t="s">
        <v>12</v>
      </c>
      <c r="C422" s="8" t="str">
        <f>"黄秋燕"</f>
        <v>黄秋燕</v>
      </c>
      <c r="D422" s="8" t="str">
        <f t="shared" si="177"/>
        <v>女</v>
      </c>
      <c r="E422" s="7" t="str">
        <f>"43112419941018792X"</f>
        <v>43112419941018792X</v>
      </c>
      <c r="F422" s="7" t="str">
        <f>"荆楚理工学院"</f>
        <v>荆楚理工学院</v>
      </c>
      <c r="G422" s="7" t="str">
        <f>"学前教育专业"</f>
        <v>学前教育专业</v>
      </c>
      <c r="H422" s="7" t="str">
        <f>"本科"</f>
        <v>本科</v>
      </c>
      <c r="I422" s="7" t="str">
        <f t="shared" si="165"/>
        <v>幼儿园教师资格</v>
      </c>
    </row>
    <row r="423" customHeight="1" spans="1:9">
      <c r="A423" s="6">
        <v>421</v>
      </c>
      <c r="B423" s="7" t="s">
        <v>11</v>
      </c>
      <c r="C423" s="8" t="str">
        <f>"邱如意"</f>
        <v>邱如意</v>
      </c>
      <c r="D423" s="8" t="str">
        <f t="shared" si="177"/>
        <v>女</v>
      </c>
      <c r="E423" s="7" t="str">
        <f>"460001199405050747"</f>
        <v>460001199405050747</v>
      </c>
      <c r="F423" s="7" t="str">
        <f>"海南热带海洋学院"</f>
        <v>海南热带海洋学院</v>
      </c>
      <c r="G423" s="7" t="str">
        <f t="shared" ref="G423:G428" si="179">"学前教育"</f>
        <v>学前教育</v>
      </c>
      <c r="H423" s="7" t="str">
        <f t="shared" si="178"/>
        <v>专科</v>
      </c>
      <c r="I423" s="7" t="str">
        <f t="shared" si="165"/>
        <v>幼儿园教师资格</v>
      </c>
    </row>
    <row r="424" customHeight="1" spans="1:9">
      <c r="A424" s="6">
        <v>422</v>
      </c>
      <c r="B424" s="7" t="s">
        <v>11</v>
      </c>
      <c r="C424" s="8" t="str">
        <f>"裴林心"</f>
        <v>裴林心</v>
      </c>
      <c r="D424" s="8" t="str">
        <f t="shared" si="177"/>
        <v>女</v>
      </c>
      <c r="E424" s="7" t="str">
        <f>"46003119980108084X"</f>
        <v>46003119980108084X</v>
      </c>
      <c r="F424" s="7" t="str">
        <f>"鄂州职业大学"</f>
        <v>鄂州职业大学</v>
      </c>
      <c r="G424" s="7" t="str">
        <f t="shared" si="179"/>
        <v>学前教育</v>
      </c>
      <c r="H424" s="7" t="str">
        <f t="shared" si="178"/>
        <v>专科</v>
      </c>
      <c r="I424" s="7" t="str">
        <f t="shared" si="165"/>
        <v>幼儿园教师资格</v>
      </c>
    </row>
    <row r="425" customHeight="1" spans="1:9">
      <c r="A425" s="6">
        <v>423</v>
      </c>
      <c r="B425" s="7" t="s">
        <v>10</v>
      </c>
      <c r="C425" s="8" t="str">
        <f>"陈仕婷"</f>
        <v>陈仕婷</v>
      </c>
      <c r="D425" s="8" t="str">
        <f t="shared" si="177"/>
        <v>女</v>
      </c>
      <c r="E425" s="7" t="str">
        <f>"46003219931220764X"</f>
        <v>46003219931220764X</v>
      </c>
      <c r="F425" s="7" t="str">
        <f t="shared" ref="F425:F430" si="180">"琼台师范学院"</f>
        <v>琼台师范学院</v>
      </c>
      <c r="G425" s="7" t="str">
        <f>"学前教育(英语教育方向）"</f>
        <v>学前教育(英语教育方向）</v>
      </c>
      <c r="H425" s="7" t="str">
        <f t="shared" si="178"/>
        <v>专科</v>
      </c>
      <c r="I425" s="7" t="str">
        <f t="shared" si="165"/>
        <v>幼儿园教师资格</v>
      </c>
    </row>
    <row r="426" customHeight="1" spans="1:9">
      <c r="A426" s="6">
        <v>424</v>
      </c>
      <c r="B426" s="7" t="s">
        <v>10</v>
      </c>
      <c r="C426" s="8" t="str">
        <f>"黄丽丽"</f>
        <v>黄丽丽</v>
      </c>
      <c r="D426" s="8" t="str">
        <f t="shared" si="177"/>
        <v>女</v>
      </c>
      <c r="E426" s="7" t="str">
        <f>"460006199612124069"</f>
        <v>460006199612124069</v>
      </c>
      <c r="F426" s="7" t="str">
        <f>"忻州师范学院"</f>
        <v>忻州师范学院</v>
      </c>
      <c r="G426" s="7" t="str">
        <f t="shared" si="179"/>
        <v>学前教育</v>
      </c>
      <c r="H426" s="7" t="str">
        <f>"本科"</f>
        <v>本科</v>
      </c>
      <c r="I426" s="7" t="str">
        <f t="shared" si="165"/>
        <v>幼儿园教师资格</v>
      </c>
    </row>
    <row r="427" customHeight="1" spans="1:9">
      <c r="A427" s="6">
        <v>425</v>
      </c>
      <c r="B427" s="7" t="s">
        <v>10</v>
      </c>
      <c r="C427" s="8" t="str">
        <f>"王杰蕊"</f>
        <v>王杰蕊</v>
      </c>
      <c r="D427" s="8" t="str">
        <f t="shared" si="177"/>
        <v>女</v>
      </c>
      <c r="E427" s="7" t="str">
        <f>"460003199803106702"</f>
        <v>460003199803106702</v>
      </c>
      <c r="F427" s="7" t="str">
        <f t="shared" si="180"/>
        <v>琼台师范学院</v>
      </c>
      <c r="G427" s="7" t="str">
        <f t="shared" si="179"/>
        <v>学前教育</v>
      </c>
      <c r="H427" s="7" t="str">
        <f t="shared" ref="H427:H434" si="181">"专科"</f>
        <v>专科</v>
      </c>
      <c r="I427" s="7" t="str">
        <f t="shared" si="165"/>
        <v>幼儿园教师资格</v>
      </c>
    </row>
    <row r="428" customHeight="1" spans="1:9">
      <c r="A428" s="6">
        <v>426</v>
      </c>
      <c r="B428" s="7" t="s">
        <v>10</v>
      </c>
      <c r="C428" s="8" t="str">
        <f>"陈洋洋"</f>
        <v>陈洋洋</v>
      </c>
      <c r="D428" s="8" t="str">
        <f t="shared" si="177"/>
        <v>女</v>
      </c>
      <c r="E428" s="7" t="str">
        <f>"460028199304100047"</f>
        <v>460028199304100047</v>
      </c>
      <c r="F428" s="7" t="str">
        <f>"琼台师范高等专科学校"</f>
        <v>琼台师范高等专科学校</v>
      </c>
      <c r="G428" s="7" t="str">
        <f t="shared" si="179"/>
        <v>学前教育</v>
      </c>
      <c r="H428" s="7" t="str">
        <f t="shared" si="181"/>
        <v>专科</v>
      </c>
      <c r="I428" s="7" t="str">
        <f t="shared" si="165"/>
        <v>幼儿园教师资格</v>
      </c>
    </row>
    <row r="429" customHeight="1" spans="1:9">
      <c r="A429" s="6">
        <v>427</v>
      </c>
      <c r="B429" s="7" t="s">
        <v>10</v>
      </c>
      <c r="C429" s="8" t="str">
        <f>"文瞧"</f>
        <v>文瞧</v>
      </c>
      <c r="D429" s="8" t="str">
        <f t="shared" si="177"/>
        <v>女</v>
      </c>
      <c r="E429" s="7" t="str">
        <f>"460007199707194963"</f>
        <v>460007199707194963</v>
      </c>
      <c r="F429" s="7" t="str">
        <f>"廊坊师范学院"</f>
        <v>廊坊师范学院</v>
      </c>
      <c r="G429" s="7" t="str">
        <f>"学前教育专业"</f>
        <v>学前教育专业</v>
      </c>
      <c r="H429" s="7" t="str">
        <f>"本科"</f>
        <v>本科</v>
      </c>
      <c r="I429" s="7" t="str">
        <f t="shared" si="165"/>
        <v>幼儿园教师资格</v>
      </c>
    </row>
    <row r="430" customHeight="1" spans="1:9">
      <c r="A430" s="6">
        <v>428</v>
      </c>
      <c r="B430" s="7" t="s">
        <v>12</v>
      </c>
      <c r="C430" s="8" t="str">
        <f>"周晶"</f>
        <v>周晶</v>
      </c>
      <c r="D430" s="8" t="str">
        <f t="shared" si="177"/>
        <v>女</v>
      </c>
      <c r="E430" s="7" t="str">
        <f>"460004199404050621"</f>
        <v>460004199404050621</v>
      </c>
      <c r="F430" s="7" t="str">
        <f t="shared" si="180"/>
        <v>琼台师范学院</v>
      </c>
      <c r="G430" s="7" t="str">
        <f t="shared" ref="G430:G434" si="182">"学前教育"</f>
        <v>学前教育</v>
      </c>
      <c r="H430" s="7" t="str">
        <f t="shared" si="181"/>
        <v>专科</v>
      </c>
      <c r="I430" s="7" t="str">
        <f t="shared" si="165"/>
        <v>幼儿园教师资格</v>
      </c>
    </row>
    <row r="431" customHeight="1" spans="1:9">
      <c r="A431" s="6">
        <v>429</v>
      </c>
      <c r="B431" s="7" t="s">
        <v>11</v>
      </c>
      <c r="C431" s="8" t="str">
        <f>"符梅琦"</f>
        <v>符梅琦</v>
      </c>
      <c r="D431" s="8" t="str">
        <f t="shared" si="177"/>
        <v>女</v>
      </c>
      <c r="E431" s="7" t="str">
        <f>"460003199209181427"</f>
        <v>460003199209181427</v>
      </c>
      <c r="F431" s="7" t="str">
        <f>"海南热带海洋学院"</f>
        <v>海南热带海洋学院</v>
      </c>
      <c r="G431" s="7" t="str">
        <f t="shared" si="182"/>
        <v>学前教育</v>
      </c>
      <c r="H431" s="7" t="str">
        <f t="shared" si="181"/>
        <v>专科</v>
      </c>
      <c r="I431" s="7" t="str">
        <f t="shared" si="165"/>
        <v>幼儿园教师资格</v>
      </c>
    </row>
    <row r="432" customHeight="1" spans="1:9">
      <c r="A432" s="6">
        <v>430</v>
      </c>
      <c r="B432" s="7" t="s">
        <v>11</v>
      </c>
      <c r="C432" s="8" t="str">
        <f>"陆海娟"</f>
        <v>陆海娟</v>
      </c>
      <c r="D432" s="8" t="str">
        <f t="shared" si="177"/>
        <v>女</v>
      </c>
      <c r="E432" s="7" t="str">
        <f>"46002719971015794X"</f>
        <v>46002719971015794X</v>
      </c>
      <c r="F432" s="7" t="str">
        <f>"海南师范大学"</f>
        <v>海南师范大学</v>
      </c>
      <c r="G432" s="7" t="str">
        <f t="shared" si="182"/>
        <v>学前教育</v>
      </c>
      <c r="H432" s="7" t="str">
        <f t="shared" si="181"/>
        <v>专科</v>
      </c>
      <c r="I432" s="7" t="str">
        <f t="shared" si="165"/>
        <v>幼儿园教师资格</v>
      </c>
    </row>
    <row r="433" customHeight="1" spans="1:9">
      <c r="A433" s="6">
        <v>431</v>
      </c>
      <c r="B433" s="7" t="s">
        <v>11</v>
      </c>
      <c r="C433" s="8" t="str">
        <f>"王义芳"</f>
        <v>王义芳</v>
      </c>
      <c r="D433" s="8" t="str">
        <f t="shared" si="177"/>
        <v>女</v>
      </c>
      <c r="E433" s="7" t="str">
        <f>"460103199504283640"</f>
        <v>460103199504283640</v>
      </c>
      <c r="F433" s="7" t="str">
        <f>"琼台师范高等专科学校"</f>
        <v>琼台师范高等专科学校</v>
      </c>
      <c r="G433" s="7" t="str">
        <f t="shared" si="182"/>
        <v>学前教育</v>
      </c>
      <c r="H433" s="7" t="str">
        <f t="shared" si="181"/>
        <v>专科</v>
      </c>
      <c r="I433" s="7" t="str">
        <f t="shared" si="165"/>
        <v>幼儿园教师资格</v>
      </c>
    </row>
    <row r="434" customHeight="1" spans="1:9">
      <c r="A434" s="6">
        <v>432</v>
      </c>
      <c r="B434" s="7" t="s">
        <v>12</v>
      </c>
      <c r="C434" s="8" t="str">
        <f>"周海琳"</f>
        <v>周海琳</v>
      </c>
      <c r="D434" s="8" t="str">
        <f t="shared" si="177"/>
        <v>女</v>
      </c>
      <c r="E434" s="7" t="str">
        <f>"460035199706061128"</f>
        <v>460035199706061128</v>
      </c>
      <c r="F434" s="7" t="str">
        <f>"琼台师范学院"</f>
        <v>琼台师范学院</v>
      </c>
      <c r="G434" s="7" t="str">
        <f t="shared" si="182"/>
        <v>学前教育</v>
      </c>
      <c r="H434" s="7" t="str">
        <f t="shared" si="181"/>
        <v>专科</v>
      </c>
      <c r="I434" s="7" t="str">
        <f t="shared" si="165"/>
        <v>幼儿园教师资格</v>
      </c>
    </row>
    <row r="435" customHeight="1" spans="1:9">
      <c r="A435" s="6">
        <v>433</v>
      </c>
      <c r="B435" s="7" t="s">
        <v>11</v>
      </c>
      <c r="C435" s="8" t="str">
        <f>"符式彬"</f>
        <v>符式彬</v>
      </c>
      <c r="D435" s="8" t="str">
        <f>"男"</f>
        <v>男</v>
      </c>
      <c r="E435" s="7" t="str">
        <f>"460022199710012714"</f>
        <v>460022199710012714</v>
      </c>
      <c r="F435" s="7" t="str">
        <f>"忻州师院学院"</f>
        <v>忻州师院学院</v>
      </c>
      <c r="G435" s="7" t="str">
        <f>"学前教育专业"</f>
        <v>学前教育专业</v>
      </c>
      <c r="H435" s="7" t="str">
        <f>"本科"</f>
        <v>本科</v>
      </c>
      <c r="I435" s="7" t="str">
        <f t="shared" si="165"/>
        <v>幼儿园教师资格</v>
      </c>
    </row>
    <row r="436" customHeight="1" spans="1:9">
      <c r="A436" s="6">
        <v>434</v>
      </c>
      <c r="B436" s="7" t="s">
        <v>10</v>
      </c>
      <c r="C436" s="8" t="str">
        <f>"张能玲"</f>
        <v>张能玲</v>
      </c>
      <c r="D436" s="8" t="str">
        <f t="shared" ref="D436:D499" si="183">"女"</f>
        <v>女</v>
      </c>
      <c r="E436" s="7" t="str">
        <f>"460003199410066420"</f>
        <v>460003199410066420</v>
      </c>
      <c r="F436" s="7" t="str">
        <f>"怀化学院"</f>
        <v>怀化学院</v>
      </c>
      <c r="G436" s="7" t="str">
        <f t="shared" ref="G436:G441" si="184">"学前教育"</f>
        <v>学前教育</v>
      </c>
      <c r="H436" s="7" t="str">
        <f>"本科"</f>
        <v>本科</v>
      </c>
      <c r="I436" s="7" t="str">
        <f t="shared" si="165"/>
        <v>幼儿园教师资格</v>
      </c>
    </row>
    <row r="437" customHeight="1" spans="1:9">
      <c r="A437" s="6">
        <v>435</v>
      </c>
      <c r="B437" s="7" t="s">
        <v>12</v>
      </c>
      <c r="C437" s="8" t="str">
        <f>"陈燕"</f>
        <v>陈燕</v>
      </c>
      <c r="D437" s="8" t="str">
        <f t="shared" si="183"/>
        <v>女</v>
      </c>
      <c r="E437" s="7" t="str">
        <f>"460031199105126840"</f>
        <v>460031199105126840</v>
      </c>
      <c r="F437" s="7" t="str">
        <f>"海南师范大学"</f>
        <v>海南师范大学</v>
      </c>
      <c r="G437" s="7" t="str">
        <f t="shared" si="184"/>
        <v>学前教育</v>
      </c>
      <c r="H437" s="7" t="str">
        <f t="shared" ref="H437:H446" si="185">"专科"</f>
        <v>专科</v>
      </c>
      <c r="I437" s="7" t="str">
        <f t="shared" si="165"/>
        <v>幼儿园教师资格</v>
      </c>
    </row>
    <row r="438" customHeight="1" spans="1:9">
      <c r="A438" s="6">
        <v>436</v>
      </c>
      <c r="B438" s="7" t="s">
        <v>12</v>
      </c>
      <c r="C438" s="8" t="str">
        <f>"吴金波"</f>
        <v>吴金波</v>
      </c>
      <c r="D438" s="8" t="str">
        <f t="shared" si="183"/>
        <v>女</v>
      </c>
      <c r="E438" s="7" t="str">
        <f>"460004199202054042"</f>
        <v>460004199202054042</v>
      </c>
      <c r="F438" s="7" t="str">
        <f>"海南师范大学"</f>
        <v>海南师范大学</v>
      </c>
      <c r="G438" s="7" t="str">
        <f t="shared" si="184"/>
        <v>学前教育</v>
      </c>
      <c r="H438" s="7" t="str">
        <f t="shared" si="185"/>
        <v>专科</v>
      </c>
      <c r="I438" s="7" t="str">
        <f t="shared" si="165"/>
        <v>幼儿园教师资格</v>
      </c>
    </row>
    <row r="439" customHeight="1" spans="1:9">
      <c r="A439" s="6">
        <v>437</v>
      </c>
      <c r="B439" s="7" t="s">
        <v>10</v>
      </c>
      <c r="C439" s="8" t="str">
        <f>"钟海转"</f>
        <v>钟海转</v>
      </c>
      <c r="D439" s="8" t="str">
        <f t="shared" si="183"/>
        <v>女</v>
      </c>
      <c r="E439" s="7" t="str">
        <f>"460004199805244080"</f>
        <v>460004199805244080</v>
      </c>
      <c r="F439" s="7" t="str">
        <f>"琼台师范学院"</f>
        <v>琼台师范学院</v>
      </c>
      <c r="G439" s="7" t="str">
        <f t="shared" si="184"/>
        <v>学前教育</v>
      </c>
      <c r="H439" s="7" t="str">
        <f t="shared" si="185"/>
        <v>专科</v>
      </c>
      <c r="I439" s="7" t="str">
        <f t="shared" si="165"/>
        <v>幼儿园教师资格</v>
      </c>
    </row>
    <row r="440" customHeight="1" spans="1:9">
      <c r="A440" s="6">
        <v>438</v>
      </c>
      <c r="B440" s="7" t="s">
        <v>11</v>
      </c>
      <c r="C440" s="8" t="str">
        <f>"王慧敏"</f>
        <v>王慧敏</v>
      </c>
      <c r="D440" s="8" t="str">
        <f t="shared" si="183"/>
        <v>女</v>
      </c>
      <c r="E440" s="7" t="str">
        <f>"460027199301042340"</f>
        <v>460027199301042340</v>
      </c>
      <c r="F440" s="7" t="str">
        <f>"海南热带海洋学院"</f>
        <v>海南热带海洋学院</v>
      </c>
      <c r="G440" s="7" t="str">
        <f t="shared" si="184"/>
        <v>学前教育</v>
      </c>
      <c r="H440" s="7" t="str">
        <f t="shared" si="185"/>
        <v>专科</v>
      </c>
      <c r="I440" s="7" t="str">
        <f t="shared" si="165"/>
        <v>幼儿园教师资格</v>
      </c>
    </row>
    <row r="441" customHeight="1" spans="1:9">
      <c r="A441" s="6">
        <v>439</v>
      </c>
      <c r="B441" s="7" t="s">
        <v>11</v>
      </c>
      <c r="C441" s="8" t="str">
        <f>"王棉"</f>
        <v>王棉</v>
      </c>
      <c r="D441" s="8" t="str">
        <f t="shared" si="183"/>
        <v>女</v>
      </c>
      <c r="E441" s="7" t="str">
        <f>"460028199409162826"</f>
        <v>460028199409162826</v>
      </c>
      <c r="F441" s="7" t="str">
        <f>"海南热带海洋学院"</f>
        <v>海南热带海洋学院</v>
      </c>
      <c r="G441" s="7" t="str">
        <f t="shared" si="184"/>
        <v>学前教育</v>
      </c>
      <c r="H441" s="7" t="str">
        <f t="shared" si="185"/>
        <v>专科</v>
      </c>
      <c r="I441" s="7" t="str">
        <f t="shared" si="165"/>
        <v>幼儿园教师资格</v>
      </c>
    </row>
    <row r="442" customHeight="1" spans="1:9">
      <c r="A442" s="6">
        <v>440</v>
      </c>
      <c r="B442" s="7" t="s">
        <v>10</v>
      </c>
      <c r="C442" s="8" t="str">
        <f>"曹越华"</f>
        <v>曹越华</v>
      </c>
      <c r="D442" s="8" t="str">
        <f t="shared" si="183"/>
        <v>女</v>
      </c>
      <c r="E442" s="7" t="str">
        <f>"460006199102257224"</f>
        <v>460006199102257224</v>
      </c>
      <c r="F442" s="7" t="str">
        <f t="shared" ref="F442:F444" si="186">"琼台师范高等专科学校"</f>
        <v>琼台师范高等专科学校</v>
      </c>
      <c r="G442" s="7" t="str">
        <f>"学前教育（英语教育方向）"</f>
        <v>学前教育（英语教育方向）</v>
      </c>
      <c r="H442" s="7" t="str">
        <f t="shared" si="185"/>
        <v>专科</v>
      </c>
      <c r="I442" s="7" t="str">
        <f t="shared" si="165"/>
        <v>幼儿园教师资格</v>
      </c>
    </row>
    <row r="443" customHeight="1" spans="1:9">
      <c r="A443" s="6">
        <v>441</v>
      </c>
      <c r="B443" s="7" t="s">
        <v>10</v>
      </c>
      <c r="C443" s="8" t="str">
        <f>"谢晓卿"</f>
        <v>谢晓卿</v>
      </c>
      <c r="D443" s="8" t="str">
        <f t="shared" si="183"/>
        <v>女</v>
      </c>
      <c r="E443" s="7" t="str">
        <f>"460004199001114440"</f>
        <v>460004199001114440</v>
      </c>
      <c r="F443" s="7" t="str">
        <f t="shared" si="186"/>
        <v>琼台师范高等专科学校</v>
      </c>
      <c r="G443" s="7" t="str">
        <f t="shared" ref="G443:G448" si="187">"学前教育"</f>
        <v>学前教育</v>
      </c>
      <c r="H443" s="7" t="str">
        <f t="shared" si="185"/>
        <v>专科</v>
      </c>
      <c r="I443" s="7" t="str">
        <f t="shared" si="165"/>
        <v>幼儿园教师资格</v>
      </c>
    </row>
    <row r="444" customHeight="1" spans="1:9">
      <c r="A444" s="6">
        <v>442</v>
      </c>
      <c r="B444" s="7" t="s">
        <v>12</v>
      </c>
      <c r="C444" s="8" t="str">
        <f>"林金英"</f>
        <v>林金英</v>
      </c>
      <c r="D444" s="8" t="str">
        <f t="shared" si="183"/>
        <v>女</v>
      </c>
      <c r="E444" s="7" t="str">
        <f>"460034199102255822"</f>
        <v>460034199102255822</v>
      </c>
      <c r="F444" s="7" t="str">
        <f t="shared" si="186"/>
        <v>琼台师范高等专科学校</v>
      </c>
      <c r="G444" s="7" t="str">
        <f t="shared" si="187"/>
        <v>学前教育</v>
      </c>
      <c r="H444" s="7" t="str">
        <f t="shared" si="185"/>
        <v>专科</v>
      </c>
      <c r="I444" s="7" t="str">
        <f t="shared" si="165"/>
        <v>幼儿园教师资格</v>
      </c>
    </row>
    <row r="445" customHeight="1" spans="1:9">
      <c r="A445" s="6">
        <v>443</v>
      </c>
      <c r="B445" s="7" t="s">
        <v>11</v>
      </c>
      <c r="C445" s="8" t="str">
        <f>"杨忠洁"</f>
        <v>杨忠洁</v>
      </c>
      <c r="D445" s="8" t="str">
        <f t="shared" si="183"/>
        <v>女</v>
      </c>
      <c r="E445" s="7" t="str">
        <f>"46000619950810042X"</f>
        <v>46000619950810042X</v>
      </c>
      <c r="F445" s="7" t="str">
        <f>"琼台师范学院"</f>
        <v>琼台师范学院</v>
      </c>
      <c r="G445" s="7" t="str">
        <f t="shared" si="187"/>
        <v>学前教育</v>
      </c>
      <c r="H445" s="7" t="str">
        <f t="shared" si="185"/>
        <v>专科</v>
      </c>
      <c r="I445" s="7" t="str">
        <f t="shared" si="165"/>
        <v>幼儿园教师资格</v>
      </c>
    </row>
    <row r="446" customHeight="1" spans="1:9">
      <c r="A446" s="6">
        <v>444</v>
      </c>
      <c r="B446" s="7" t="s">
        <v>10</v>
      </c>
      <c r="C446" s="8" t="str">
        <f>"林淑霞"</f>
        <v>林淑霞</v>
      </c>
      <c r="D446" s="8" t="str">
        <f t="shared" si="183"/>
        <v>女</v>
      </c>
      <c r="E446" s="7" t="str">
        <f>"460003199404042641"</f>
        <v>460003199404042641</v>
      </c>
      <c r="F446" s="7" t="str">
        <f>"琼州学院"</f>
        <v>琼州学院</v>
      </c>
      <c r="G446" s="7" t="str">
        <f t="shared" si="187"/>
        <v>学前教育</v>
      </c>
      <c r="H446" s="7" t="str">
        <f t="shared" si="185"/>
        <v>专科</v>
      </c>
      <c r="I446" s="7" t="str">
        <f t="shared" si="165"/>
        <v>幼儿园教师资格</v>
      </c>
    </row>
    <row r="447" customHeight="1" spans="1:9">
      <c r="A447" s="6">
        <v>445</v>
      </c>
      <c r="B447" s="7" t="s">
        <v>12</v>
      </c>
      <c r="C447" s="8" t="str">
        <f>"符卓花"</f>
        <v>符卓花</v>
      </c>
      <c r="D447" s="8" t="str">
        <f t="shared" si="183"/>
        <v>女</v>
      </c>
      <c r="E447" s="7" t="str">
        <f>"460300199509050629"</f>
        <v>460300199509050629</v>
      </c>
      <c r="F447" s="7" t="str">
        <f>"忻州师范学院"</f>
        <v>忻州师范学院</v>
      </c>
      <c r="G447" s="7" t="str">
        <f t="shared" si="187"/>
        <v>学前教育</v>
      </c>
      <c r="H447" s="7" t="str">
        <f t="shared" ref="H447:H451" si="188">"本科"</f>
        <v>本科</v>
      </c>
      <c r="I447" s="7" t="str">
        <f t="shared" si="165"/>
        <v>幼儿园教师资格</v>
      </c>
    </row>
    <row r="448" customHeight="1" spans="1:9">
      <c r="A448" s="6">
        <v>446</v>
      </c>
      <c r="B448" s="7" t="s">
        <v>12</v>
      </c>
      <c r="C448" s="8" t="str">
        <f>"陈琼妃"</f>
        <v>陈琼妃</v>
      </c>
      <c r="D448" s="8" t="str">
        <f t="shared" si="183"/>
        <v>女</v>
      </c>
      <c r="E448" s="7" t="str">
        <f>"460036199311101849"</f>
        <v>460036199311101849</v>
      </c>
      <c r="F448" s="7" t="str">
        <f>"海南热带海洋学院"</f>
        <v>海南热带海洋学院</v>
      </c>
      <c r="G448" s="7" t="str">
        <f t="shared" si="187"/>
        <v>学前教育</v>
      </c>
      <c r="H448" s="7" t="str">
        <f t="shared" ref="H448:H454" si="189">"专科"</f>
        <v>专科</v>
      </c>
      <c r="I448" s="7" t="str">
        <f t="shared" si="165"/>
        <v>幼儿园教师资格</v>
      </c>
    </row>
    <row r="449" customHeight="1" spans="1:9">
      <c r="A449" s="6">
        <v>447</v>
      </c>
      <c r="B449" s="7" t="s">
        <v>12</v>
      </c>
      <c r="C449" s="8" t="str">
        <f>"洪淑云"</f>
        <v>洪淑云</v>
      </c>
      <c r="D449" s="8" t="str">
        <f t="shared" si="183"/>
        <v>女</v>
      </c>
      <c r="E449" s="7" t="str">
        <f>"460022199107291229"</f>
        <v>460022199107291229</v>
      </c>
      <c r="F449" s="7" t="str">
        <f>"琼台师范高等专科学校"</f>
        <v>琼台师范高等专科学校</v>
      </c>
      <c r="G449" s="7" t="str">
        <f>"学前教育（英语方向）"</f>
        <v>学前教育（英语方向）</v>
      </c>
      <c r="H449" s="7" t="str">
        <f t="shared" si="189"/>
        <v>专科</v>
      </c>
      <c r="I449" s="7" t="str">
        <f t="shared" si="165"/>
        <v>幼儿园教师资格</v>
      </c>
    </row>
    <row r="450" customHeight="1" spans="1:9">
      <c r="A450" s="6">
        <v>448</v>
      </c>
      <c r="B450" s="7" t="s">
        <v>11</v>
      </c>
      <c r="C450" s="8" t="str">
        <f>"王帅玲"</f>
        <v>王帅玲</v>
      </c>
      <c r="D450" s="8" t="str">
        <f t="shared" si="183"/>
        <v>女</v>
      </c>
      <c r="E450" s="7" t="str">
        <f>"460034199502262423"</f>
        <v>460034199502262423</v>
      </c>
      <c r="F450" s="7" t="str">
        <f>"忻州师范学院"</f>
        <v>忻州师范学院</v>
      </c>
      <c r="G450" s="7" t="str">
        <f t="shared" ref="G450:G453" si="190">"学前教育"</f>
        <v>学前教育</v>
      </c>
      <c r="H450" s="7" t="str">
        <f t="shared" si="188"/>
        <v>本科</v>
      </c>
      <c r="I450" s="7" t="str">
        <f t="shared" ref="I450:I513" si="191">"幼儿园教师资格"</f>
        <v>幼儿园教师资格</v>
      </c>
    </row>
    <row r="451" customHeight="1" spans="1:9">
      <c r="A451" s="6">
        <v>449</v>
      </c>
      <c r="B451" s="7" t="s">
        <v>10</v>
      </c>
      <c r="C451" s="8" t="str">
        <f>"罗春钰"</f>
        <v>罗春钰</v>
      </c>
      <c r="D451" s="8" t="str">
        <f t="shared" si="183"/>
        <v>女</v>
      </c>
      <c r="E451" s="7" t="str">
        <f>"460003199603195421"</f>
        <v>460003199603195421</v>
      </c>
      <c r="F451" s="7" t="str">
        <f>"西华大学"</f>
        <v>西华大学</v>
      </c>
      <c r="G451" s="7" t="str">
        <f t="shared" si="190"/>
        <v>学前教育</v>
      </c>
      <c r="H451" s="7" t="str">
        <f t="shared" si="188"/>
        <v>本科</v>
      </c>
      <c r="I451" s="7" t="str">
        <f t="shared" si="191"/>
        <v>幼儿园教师资格</v>
      </c>
    </row>
    <row r="452" customHeight="1" spans="1:9">
      <c r="A452" s="6">
        <v>450</v>
      </c>
      <c r="B452" s="7" t="s">
        <v>10</v>
      </c>
      <c r="C452" s="8" t="str">
        <f>"谢春"</f>
        <v>谢春</v>
      </c>
      <c r="D452" s="8" t="str">
        <f t="shared" si="183"/>
        <v>女</v>
      </c>
      <c r="E452" s="7" t="str">
        <f>"460007200002060442"</f>
        <v>460007200002060442</v>
      </c>
      <c r="F452" s="7" t="str">
        <f>"琼台师范学院"</f>
        <v>琼台师范学院</v>
      </c>
      <c r="G452" s="7" t="str">
        <f t="shared" si="190"/>
        <v>学前教育</v>
      </c>
      <c r="H452" s="7" t="str">
        <f>"专科(高职)"</f>
        <v>专科(高职)</v>
      </c>
      <c r="I452" s="7" t="str">
        <f t="shared" si="191"/>
        <v>幼儿园教师资格</v>
      </c>
    </row>
    <row r="453" customHeight="1" spans="1:9">
      <c r="A453" s="6">
        <v>451</v>
      </c>
      <c r="B453" s="7" t="s">
        <v>11</v>
      </c>
      <c r="C453" s="8" t="str">
        <f>"陈琼丽"</f>
        <v>陈琼丽</v>
      </c>
      <c r="D453" s="8" t="str">
        <f t="shared" si="183"/>
        <v>女</v>
      </c>
      <c r="E453" s="7" t="str">
        <f>"460003199108134023"</f>
        <v>460003199108134023</v>
      </c>
      <c r="F453" s="7" t="str">
        <f t="shared" ref="F453:F458" si="192">"海南热带海洋学院"</f>
        <v>海南热带海洋学院</v>
      </c>
      <c r="G453" s="7" t="str">
        <f t="shared" si="190"/>
        <v>学前教育</v>
      </c>
      <c r="H453" s="7" t="str">
        <f t="shared" si="189"/>
        <v>专科</v>
      </c>
      <c r="I453" s="7" t="str">
        <f t="shared" si="191"/>
        <v>幼儿园教师资格</v>
      </c>
    </row>
    <row r="454" customHeight="1" spans="1:9">
      <c r="A454" s="6">
        <v>452</v>
      </c>
      <c r="B454" s="7" t="s">
        <v>12</v>
      </c>
      <c r="C454" s="8" t="str">
        <f>"符宝娜"</f>
        <v>符宝娜</v>
      </c>
      <c r="D454" s="8" t="str">
        <f t="shared" si="183"/>
        <v>女</v>
      </c>
      <c r="E454" s="7" t="str">
        <f>"460003199410186641"</f>
        <v>460003199410186641</v>
      </c>
      <c r="F454" s="7" t="str">
        <f>"海南省海口市琼台师范学院"</f>
        <v>海南省海口市琼台师范学院</v>
      </c>
      <c r="G454" s="7" t="str">
        <f>"学前教育专业"</f>
        <v>学前教育专业</v>
      </c>
      <c r="H454" s="7" t="str">
        <f t="shared" si="189"/>
        <v>专科</v>
      </c>
      <c r="I454" s="7" t="str">
        <f t="shared" si="191"/>
        <v>幼儿园教师资格</v>
      </c>
    </row>
    <row r="455" customHeight="1" spans="1:9">
      <c r="A455" s="6">
        <v>453</v>
      </c>
      <c r="B455" s="7" t="s">
        <v>10</v>
      </c>
      <c r="C455" s="8" t="str">
        <f>"甘玉"</f>
        <v>甘玉</v>
      </c>
      <c r="D455" s="8" t="str">
        <f t="shared" si="183"/>
        <v>女</v>
      </c>
      <c r="E455" s="7" t="str">
        <f>"460006199303098127"</f>
        <v>460006199303098127</v>
      </c>
      <c r="F455" s="7" t="str">
        <f>"琼台师范"</f>
        <v>琼台师范</v>
      </c>
      <c r="G455" s="7" t="str">
        <f t="shared" ref="G455:G462" si="193">"学前教育"</f>
        <v>学前教育</v>
      </c>
      <c r="H455" s="7" t="str">
        <f>"专科(高职)"</f>
        <v>专科(高职)</v>
      </c>
      <c r="I455" s="7" t="str">
        <f t="shared" si="191"/>
        <v>幼儿园教师资格</v>
      </c>
    </row>
    <row r="456" customHeight="1" spans="1:9">
      <c r="A456" s="6">
        <v>454</v>
      </c>
      <c r="B456" s="7" t="s">
        <v>11</v>
      </c>
      <c r="C456" s="8" t="str">
        <f>"张丹婷"</f>
        <v>张丹婷</v>
      </c>
      <c r="D456" s="8" t="str">
        <f t="shared" si="183"/>
        <v>女</v>
      </c>
      <c r="E456" s="7" t="str">
        <f>"222426199103094425"</f>
        <v>222426199103094425</v>
      </c>
      <c r="F456" s="7" t="str">
        <f>"吉林师范大学博达学院"</f>
        <v>吉林师范大学博达学院</v>
      </c>
      <c r="G456" s="7" t="str">
        <f>"学前教育专业"</f>
        <v>学前教育专业</v>
      </c>
      <c r="H456" s="7" t="str">
        <f>"本科"</f>
        <v>本科</v>
      </c>
      <c r="I456" s="7" t="str">
        <f t="shared" si="191"/>
        <v>幼儿园教师资格</v>
      </c>
    </row>
    <row r="457" customHeight="1" spans="1:9">
      <c r="A457" s="6">
        <v>455</v>
      </c>
      <c r="B457" s="7" t="s">
        <v>12</v>
      </c>
      <c r="C457" s="8" t="str">
        <f>"李琴琴"</f>
        <v>李琴琴</v>
      </c>
      <c r="D457" s="8" t="str">
        <f t="shared" si="183"/>
        <v>女</v>
      </c>
      <c r="E457" s="7" t="str">
        <f>"460006199603044024"</f>
        <v>460006199603044024</v>
      </c>
      <c r="F457" s="7" t="str">
        <f t="shared" si="192"/>
        <v>海南热带海洋学院</v>
      </c>
      <c r="G457" s="7" t="str">
        <f t="shared" si="193"/>
        <v>学前教育</v>
      </c>
      <c r="H457" s="7" t="str">
        <f t="shared" ref="H457:H466" si="194">"专科"</f>
        <v>专科</v>
      </c>
      <c r="I457" s="7" t="str">
        <f t="shared" si="191"/>
        <v>幼儿园教师资格</v>
      </c>
    </row>
    <row r="458" customHeight="1" spans="1:9">
      <c r="A458" s="6">
        <v>456</v>
      </c>
      <c r="B458" s="7" t="s">
        <v>10</v>
      </c>
      <c r="C458" s="8" t="str">
        <f>"唐甸珍"</f>
        <v>唐甸珍</v>
      </c>
      <c r="D458" s="8" t="str">
        <f t="shared" si="183"/>
        <v>女</v>
      </c>
      <c r="E458" s="7" t="str">
        <f>"469021199605023026"</f>
        <v>469021199605023026</v>
      </c>
      <c r="F458" s="7" t="str">
        <f t="shared" si="192"/>
        <v>海南热带海洋学院</v>
      </c>
      <c r="G458" s="7" t="str">
        <f t="shared" si="193"/>
        <v>学前教育</v>
      </c>
      <c r="H458" s="7" t="str">
        <f t="shared" si="194"/>
        <v>专科</v>
      </c>
      <c r="I458" s="7" t="str">
        <f t="shared" si="191"/>
        <v>幼儿园教师资格</v>
      </c>
    </row>
    <row r="459" customHeight="1" spans="1:9">
      <c r="A459" s="6">
        <v>457</v>
      </c>
      <c r="B459" s="7" t="s">
        <v>11</v>
      </c>
      <c r="C459" s="8" t="str">
        <f>"肖孝美"</f>
        <v>肖孝美</v>
      </c>
      <c r="D459" s="8" t="str">
        <f t="shared" si="183"/>
        <v>女</v>
      </c>
      <c r="E459" s="7" t="str">
        <f>"460004199405164049"</f>
        <v>460004199405164049</v>
      </c>
      <c r="F459" s="7" t="str">
        <f>"琼州学院"</f>
        <v>琼州学院</v>
      </c>
      <c r="G459" s="7" t="str">
        <f t="shared" si="193"/>
        <v>学前教育</v>
      </c>
      <c r="H459" s="7" t="str">
        <f t="shared" si="194"/>
        <v>专科</v>
      </c>
      <c r="I459" s="7" t="str">
        <f t="shared" si="191"/>
        <v>幼儿园教师资格</v>
      </c>
    </row>
    <row r="460" customHeight="1" spans="1:9">
      <c r="A460" s="6">
        <v>458</v>
      </c>
      <c r="B460" s="7" t="s">
        <v>11</v>
      </c>
      <c r="C460" s="8" t="str">
        <f>"郭振莲"</f>
        <v>郭振莲</v>
      </c>
      <c r="D460" s="8" t="str">
        <f t="shared" si="183"/>
        <v>女</v>
      </c>
      <c r="E460" s="7" t="str">
        <f>"460003199505052646"</f>
        <v>460003199505052646</v>
      </c>
      <c r="F460" s="7" t="str">
        <f t="shared" ref="F460:F464" si="195">"海南热带海洋学院"</f>
        <v>海南热带海洋学院</v>
      </c>
      <c r="G460" s="7" t="str">
        <f t="shared" si="193"/>
        <v>学前教育</v>
      </c>
      <c r="H460" s="7" t="str">
        <f t="shared" si="194"/>
        <v>专科</v>
      </c>
      <c r="I460" s="7" t="str">
        <f t="shared" si="191"/>
        <v>幼儿园教师资格</v>
      </c>
    </row>
    <row r="461" customHeight="1" spans="1:9">
      <c r="A461" s="6">
        <v>459</v>
      </c>
      <c r="B461" s="7" t="s">
        <v>10</v>
      </c>
      <c r="C461" s="8" t="str">
        <f>"许兰茶"</f>
        <v>许兰茶</v>
      </c>
      <c r="D461" s="8" t="str">
        <f t="shared" si="183"/>
        <v>女</v>
      </c>
      <c r="E461" s="7" t="str">
        <f>"46000719901009724X"</f>
        <v>46000719901009724X</v>
      </c>
      <c r="F461" s="7" t="str">
        <f>"琼州学院"</f>
        <v>琼州学院</v>
      </c>
      <c r="G461" s="7" t="str">
        <f t="shared" si="193"/>
        <v>学前教育</v>
      </c>
      <c r="H461" s="7" t="str">
        <f t="shared" si="194"/>
        <v>专科</v>
      </c>
      <c r="I461" s="7" t="str">
        <f t="shared" si="191"/>
        <v>幼儿园教师资格</v>
      </c>
    </row>
    <row r="462" customHeight="1" spans="1:9">
      <c r="A462" s="6">
        <v>460</v>
      </c>
      <c r="B462" s="7" t="s">
        <v>11</v>
      </c>
      <c r="C462" s="8" t="str">
        <f>"苏墩花"</f>
        <v>苏墩花</v>
      </c>
      <c r="D462" s="8" t="str">
        <f t="shared" si="183"/>
        <v>女</v>
      </c>
      <c r="E462" s="7" t="str">
        <f>"460007199406045382"</f>
        <v>460007199406045382</v>
      </c>
      <c r="F462" s="7" t="str">
        <f t="shared" si="195"/>
        <v>海南热带海洋学院</v>
      </c>
      <c r="G462" s="7" t="str">
        <f t="shared" si="193"/>
        <v>学前教育</v>
      </c>
      <c r="H462" s="7" t="str">
        <f t="shared" si="194"/>
        <v>专科</v>
      </c>
      <c r="I462" s="7" t="str">
        <f t="shared" si="191"/>
        <v>幼儿园教师资格</v>
      </c>
    </row>
    <row r="463" customHeight="1" spans="1:9">
      <c r="A463" s="6">
        <v>461</v>
      </c>
      <c r="B463" s="7" t="s">
        <v>10</v>
      </c>
      <c r="C463" s="8" t="str">
        <f>"符海珠"</f>
        <v>符海珠</v>
      </c>
      <c r="D463" s="8" t="str">
        <f t="shared" si="183"/>
        <v>女</v>
      </c>
      <c r="E463" s="7" t="str">
        <f>"460004199503232068"</f>
        <v>460004199503232068</v>
      </c>
      <c r="F463" s="7" t="str">
        <f>"海南省海口市琼台师范学院"</f>
        <v>海南省海口市琼台师范学院</v>
      </c>
      <c r="G463" s="7" t="str">
        <f>"学期教育"</f>
        <v>学期教育</v>
      </c>
      <c r="H463" s="7" t="str">
        <f t="shared" si="194"/>
        <v>专科</v>
      </c>
      <c r="I463" s="7" t="str">
        <f t="shared" si="191"/>
        <v>幼儿园教师资格</v>
      </c>
    </row>
    <row r="464" customHeight="1" spans="1:9">
      <c r="A464" s="6">
        <v>462</v>
      </c>
      <c r="B464" s="7" t="s">
        <v>11</v>
      </c>
      <c r="C464" s="8" t="str">
        <f>"李秀萍"</f>
        <v>李秀萍</v>
      </c>
      <c r="D464" s="8" t="str">
        <f t="shared" si="183"/>
        <v>女</v>
      </c>
      <c r="E464" s="7" t="str">
        <f>"460003199607152840"</f>
        <v>460003199607152840</v>
      </c>
      <c r="F464" s="7" t="str">
        <f t="shared" si="195"/>
        <v>海南热带海洋学院</v>
      </c>
      <c r="G464" s="7" t="str">
        <f t="shared" ref="G464:G467" si="196">"学前教育专业"</f>
        <v>学前教育专业</v>
      </c>
      <c r="H464" s="7" t="str">
        <f t="shared" si="194"/>
        <v>专科</v>
      </c>
      <c r="I464" s="7" t="str">
        <f t="shared" si="191"/>
        <v>幼儿园教师资格</v>
      </c>
    </row>
    <row r="465" customHeight="1" spans="1:9">
      <c r="A465" s="6">
        <v>463</v>
      </c>
      <c r="B465" s="7" t="s">
        <v>10</v>
      </c>
      <c r="C465" s="8" t="str">
        <f>"方建芬"</f>
        <v>方建芬</v>
      </c>
      <c r="D465" s="8" t="str">
        <f t="shared" si="183"/>
        <v>女</v>
      </c>
      <c r="E465" s="7" t="str">
        <f>"469024199109200424"</f>
        <v>469024199109200424</v>
      </c>
      <c r="F465" s="7" t="str">
        <f>"琼台师范高等专科学校"</f>
        <v>琼台师范高等专科学校</v>
      </c>
      <c r="G465" s="7" t="str">
        <f t="shared" si="196"/>
        <v>学前教育专业</v>
      </c>
      <c r="H465" s="7" t="str">
        <f t="shared" si="194"/>
        <v>专科</v>
      </c>
      <c r="I465" s="7" t="str">
        <f t="shared" si="191"/>
        <v>幼儿园教师资格</v>
      </c>
    </row>
    <row r="466" customHeight="1" spans="1:9">
      <c r="A466" s="6">
        <v>464</v>
      </c>
      <c r="B466" s="7" t="s">
        <v>11</v>
      </c>
      <c r="C466" s="8" t="str">
        <f>"韩笛"</f>
        <v>韩笛</v>
      </c>
      <c r="D466" s="8" t="str">
        <f t="shared" si="183"/>
        <v>女</v>
      </c>
      <c r="E466" s="7" t="str">
        <f>"46000619900131092X"</f>
        <v>46000619900131092X</v>
      </c>
      <c r="F466" s="7" t="str">
        <f>"海南师范大学"</f>
        <v>海南师范大学</v>
      </c>
      <c r="G466" s="7" t="str">
        <f t="shared" ref="G466:G473" si="197">"学前教育"</f>
        <v>学前教育</v>
      </c>
      <c r="H466" s="7" t="str">
        <f t="shared" si="194"/>
        <v>专科</v>
      </c>
      <c r="I466" s="7" t="str">
        <f t="shared" si="191"/>
        <v>幼儿园教师资格</v>
      </c>
    </row>
    <row r="467" customHeight="1" spans="1:9">
      <c r="A467" s="6">
        <v>465</v>
      </c>
      <c r="B467" s="7" t="s">
        <v>10</v>
      </c>
      <c r="C467" s="8" t="str">
        <f>"庞启莹"</f>
        <v>庞启莹</v>
      </c>
      <c r="D467" s="8" t="str">
        <f t="shared" si="183"/>
        <v>女</v>
      </c>
      <c r="E467" s="7" t="str">
        <f>"460002199506241522"</f>
        <v>460002199506241522</v>
      </c>
      <c r="F467" s="7" t="str">
        <f>"衡水学院"</f>
        <v>衡水学院</v>
      </c>
      <c r="G467" s="7" t="str">
        <f t="shared" si="196"/>
        <v>学前教育专业</v>
      </c>
      <c r="H467" s="7" t="str">
        <f>"本科"</f>
        <v>本科</v>
      </c>
      <c r="I467" s="7" t="str">
        <f t="shared" si="191"/>
        <v>幼儿园教师资格</v>
      </c>
    </row>
    <row r="468" customHeight="1" spans="1:9">
      <c r="A468" s="6">
        <v>466</v>
      </c>
      <c r="B468" s="7" t="s">
        <v>10</v>
      </c>
      <c r="C468" s="8" t="str">
        <f>"蔡移"</f>
        <v>蔡移</v>
      </c>
      <c r="D468" s="8" t="str">
        <f t="shared" si="183"/>
        <v>女</v>
      </c>
      <c r="E468" s="7" t="str">
        <f>"460033199504104924"</f>
        <v>460033199504104924</v>
      </c>
      <c r="F468" s="7" t="str">
        <f>"琼台师范学院"</f>
        <v>琼台师范学院</v>
      </c>
      <c r="G468" s="7" t="str">
        <f t="shared" si="197"/>
        <v>学前教育</v>
      </c>
      <c r="H468" s="7" t="str">
        <f t="shared" ref="H468:H471" si="198">"专科"</f>
        <v>专科</v>
      </c>
      <c r="I468" s="7" t="str">
        <f t="shared" si="191"/>
        <v>幼儿园教师资格</v>
      </c>
    </row>
    <row r="469" customHeight="1" spans="1:9">
      <c r="A469" s="6">
        <v>467</v>
      </c>
      <c r="B469" s="7" t="s">
        <v>11</v>
      </c>
      <c r="C469" s="8" t="str">
        <f>"罗小慧"</f>
        <v>罗小慧</v>
      </c>
      <c r="D469" s="8" t="str">
        <f t="shared" si="183"/>
        <v>女</v>
      </c>
      <c r="E469" s="7" t="str">
        <f>"460033199407284505"</f>
        <v>460033199407284505</v>
      </c>
      <c r="F469" s="7" t="str">
        <f>"海口市琼台师范高等专科学校"</f>
        <v>海口市琼台师范高等专科学校</v>
      </c>
      <c r="G469" s="7" t="str">
        <f t="shared" si="197"/>
        <v>学前教育</v>
      </c>
      <c r="H469" s="7" t="str">
        <f t="shared" si="198"/>
        <v>专科</v>
      </c>
      <c r="I469" s="7" t="str">
        <f t="shared" si="191"/>
        <v>幼儿园教师资格</v>
      </c>
    </row>
    <row r="470" customHeight="1" spans="1:9">
      <c r="A470" s="6">
        <v>468</v>
      </c>
      <c r="B470" s="7" t="s">
        <v>10</v>
      </c>
      <c r="C470" s="8" t="str">
        <f>"王伊轩"</f>
        <v>王伊轩</v>
      </c>
      <c r="D470" s="8" t="str">
        <f t="shared" si="183"/>
        <v>女</v>
      </c>
      <c r="E470" s="7" t="str">
        <f>"460001199204120323"</f>
        <v>460001199204120323</v>
      </c>
      <c r="F470" s="7" t="str">
        <f>"琼州学院"</f>
        <v>琼州学院</v>
      </c>
      <c r="G470" s="7" t="str">
        <f t="shared" si="197"/>
        <v>学前教育</v>
      </c>
      <c r="H470" s="7" t="str">
        <f t="shared" si="198"/>
        <v>专科</v>
      </c>
      <c r="I470" s="7" t="str">
        <f t="shared" si="191"/>
        <v>幼儿园教师资格</v>
      </c>
    </row>
    <row r="471" customHeight="1" spans="1:9">
      <c r="A471" s="6">
        <v>469</v>
      </c>
      <c r="B471" s="7" t="s">
        <v>11</v>
      </c>
      <c r="C471" s="8" t="str">
        <f>"吉财丽"</f>
        <v>吉财丽</v>
      </c>
      <c r="D471" s="8" t="str">
        <f t="shared" si="183"/>
        <v>女</v>
      </c>
      <c r="E471" s="7" t="str">
        <f>"46000719950427498X"</f>
        <v>46000719950427498X</v>
      </c>
      <c r="F471" s="7" t="str">
        <f>"琼台师范学院"</f>
        <v>琼台师范学院</v>
      </c>
      <c r="G471" s="7" t="str">
        <f t="shared" si="197"/>
        <v>学前教育</v>
      </c>
      <c r="H471" s="7" t="str">
        <f t="shared" si="198"/>
        <v>专科</v>
      </c>
      <c r="I471" s="7" t="str">
        <f t="shared" si="191"/>
        <v>幼儿园教师资格</v>
      </c>
    </row>
    <row r="472" customHeight="1" spans="1:9">
      <c r="A472" s="6">
        <v>470</v>
      </c>
      <c r="B472" s="7" t="s">
        <v>10</v>
      </c>
      <c r="C472" s="8" t="str">
        <f>"邓彩秋"</f>
        <v>邓彩秋</v>
      </c>
      <c r="D472" s="8" t="str">
        <f t="shared" si="183"/>
        <v>女</v>
      </c>
      <c r="E472" s="7" t="str">
        <f>"460028199405060048"</f>
        <v>460028199405060048</v>
      </c>
      <c r="F472" s="7" t="str">
        <f>"琼台师范高等专科学校"</f>
        <v>琼台师范高等专科学校</v>
      </c>
      <c r="G472" s="7" t="str">
        <f t="shared" si="197"/>
        <v>学前教育</v>
      </c>
      <c r="H472" s="7" t="str">
        <f>"专科(高职)"</f>
        <v>专科(高职)</v>
      </c>
      <c r="I472" s="7" t="str">
        <f t="shared" si="191"/>
        <v>幼儿园教师资格</v>
      </c>
    </row>
    <row r="473" customHeight="1" spans="1:9">
      <c r="A473" s="6">
        <v>471</v>
      </c>
      <c r="B473" s="7" t="s">
        <v>11</v>
      </c>
      <c r="C473" s="8" t="str">
        <f>"于茜"</f>
        <v>于茜</v>
      </c>
      <c r="D473" s="8" t="str">
        <f t="shared" si="183"/>
        <v>女</v>
      </c>
      <c r="E473" s="7" t="str">
        <f>"230826199212260025"</f>
        <v>230826199212260025</v>
      </c>
      <c r="F473" s="7" t="str">
        <f>"吉林师范大学 博达学院"</f>
        <v>吉林师范大学 博达学院</v>
      </c>
      <c r="G473" s="7" t="str">
        <f t="shared" si="197"/>
        <v>学前教育</v>
      </c>
      <c r="H473" s="7" t="str">
        <f>"本科"</f>
        <v>本科</v>
      </c>
      <c r="I473" s="7" t="str">
        <f t="shared" si="191"/>
        <v>幼儿园教师资格</v>
      </c>
    </row>
    <row r="474" customHeight="1" spans="1:9">
      <c r="A474" s="6">
        <v>472</v>
      </c>
      <c r="B474" s="7" t="s">
        <v>10</v>
      </c>
      <c r="C474" s="8" t="str">
        <f>"杨贵珍"</f>
        <v>杨贵珍</v>
      </c>
      <c r="D474" s="8" t="str">
        <f t="shared" si="183"/>
        <v>女</v>
      </c>
      <c r="E474" s="7" t="str">
        <f>"46003419950710124X"</f>
        <v>46003419950710124X</v>
      </c>
      <c r="F474" s="7" t="str">
        <f>"琼台师范高等专科学校"</f>
        <v>琼台师范高等专科学校</v>
      </c>
      <c r="G474" s="7" t="str">
        <f>"学前教育（英语教育方向）"</f>
        <v>学前教育（英语教育方向）</v>
      </c>
      <c r="H474" s="7" t="str">
        <f t="shared" ref="H474:H476" si="199">"专科"</f>
        <v>专科</v>
      </c>
      <c r="I474" s="7" t="str">
        <f t="shared" si="191"/>
        <v>幼儿园教师资格</v>
      </c>
    </row>
    <row r="475" customHeight="1" spans="1:9">
      <c r="A475" s="6">
        <v>473</v>
      </c>
      <c r="B475" s="7" t="s">
        <v>12</v>
      </c>
      <c r="C475" s="8" t="str">
        <f>"蔡美玲"</f>
        <v>蔡美玲</v>
      </c>
      <c r="D475" s="8" t="str">
        <f t="shared" si="183"/>
        <v>女</v>
      </c>
      <c r="E475" s="7" t="str">
        <f>"469003199205086121"</f>
        <v>469003199205086121</v>
      </c>
      <c r="F475" s="7" t="str">
        <f>"琼州学院"</f>
        <v>琼州学院</v>
      </c>
      <c r="G475" s="7" t="str">
        <f t="shared" ref="G475:G477" si="200">"学前教育"</f>
        <v>学前教育</v>
      </c>
      <c r="H475" s="7" t="str">
        <f t="shared" si="199"/>
        <v>专科</v>
      </c>
      <c r="I475" s="7" t="str">
        <f t="shared" si="191"/>
        <v>幼儿园教师资格</v>
      </c>
    </row>
    <row r="476" customHeight="1" spans="1:9">
      <c r="A476" s="6">
        <v>474</v>
      </c>
      <c r="B476" s="7" t="s">
        <v>10</v>
      </c>
      <c r="C476" s="8" t="str">
        <f>"吴亚妹"</f>
        <v>吴亚妹</v>
      </c>
      <c r="D476" s="8" t="str">
        <f t="shared" si="183"/>
        <v>女</v>
      </c>
      <c r="E476" s="7" t="str">
        <f>"46000619950216342X"</f>
        <v>46000619950216342X</v>
      </c>
      <c r="F476" s="7" t="str">
        <f t="shared" ref="F476:F481" si="201">"琼台师范学院"</f>
        <v>琼台师范学院</v>
      </c>
      <c r="G476" s="7" t="str">
        <f t="shared" si="200"/>
        <v>学前教育</v>
      </c>
      <c r="H476" s="7" t="str">
        <f t="shared" si="199"/>
        <v>专科</v>
      </c>
      <c r="I476" s="7" t="str">
        <f t="shared" si="191"/>
        <v>幼儿园教师资格</v>
      </c>
    </row>
    <row r="477" customHeight="1" spans="1:9">
      <c r="A477" s="6">
        <v>475</v>
      </c>
      <c r="B477" s="7" t="s">
        <v>10</v>
      </c>
      <c r="C477" s="8" t="str">
        <f>"王小艺"</f>
        <v>王小艺</v>
      </c>
      <c r="D477" s="8" t="str">
        <f t="shared" si="183"/>
        <v>女</v>
      </c>
      <c r="E477" s="7" t="str">
        <f>"460027198912230020"</f>
        <v>460027198912230020</v>
      </c>
      <c r="F477" s="7" t="str">
        <f>"海南师范大学"</f>
        <v>海南师范大学</v>
      </c>
      <c r="G477" s="7" t="str">
        <f t="shared" si="200"/>
        <v>学前教育</v>
      </c>
      <c r="H477" s="7" t="str">
        <f>"本科"</f>
        <v>本科</v>
      </c>
      <c r="I477" s="7" t="str">
        <f t="shared" si="191"/>
        <v>幼儿园教师资格</v>
      </c>
    </row>
    <row r="478" customHeight="1" spans="1:9">
      <c r="A478" s="6">
        <v>476</v>
      </c>
      <c r="B478" s="7" t="s">
        <v>12</v>
      </c>
      <c r="C478" s="8" t="str">
        <f>"刘善慧 "</f>
        <v>刘善慧 </v>
      </c>
      <c r="D478" s="8" t="str">
        <f t="shared" si="183"/>
        <v>女</v>
      </c>
      <c r="E478" s="7" t="str">
        <f>"460003199110290244"</f>
        <v>460003199110290244</v>
      </c>
      <c r="F478" s="7" t="str">
        <f>"琼台师范高等专科学校"</f>
        <v>琼台师范高等专科学校</v>
      </c>
      <c r="G478" s="7" t="str">
        <f>"学前教育（英语方向）"</f>
        <v>学前教育（英语方向）</v>
      </c>
      <c r="H478" s="7" t="str">
        <f t="shared" ref="H478:H481" si="202">"专科"</f>
        <v>专科</v>
      </c>
      <c r="I478" s="7" t="str">
        <f t="shared" si="191"/>
        <v>幼儿园教师资格</v>
      </c>
    </row>
    <row r="479" customHeight="1" spans="1:9">
      <c r="A479" s="6">
        <v>477</v>
      </c>
      <c r="B479" s="7" t="s">
        <v>11</v>
      </c>
      <c r="C479" s="8" t="str">
        <f>"唐淑娴"</f>
        <v>唐淑娴</v>
      </c>
      <c r="D479" s="8" t="str">
        <f t="shared" si="183"/>
        <v>女</v>
      </c>
      <c r="E479" s="7" t="str">
        <f>"460003199506120225"</f>
        <v>460003199506120225</v>
      </c>
      <c r="F479" s="7" t="str">
        <f t="shared" si="201"/>
        <v>琼台师范学院</v>
      </c>
      <c r="G479" s="7" t="str">
        <f t="shared" ref="G479:G481" si="203">"学前教育"</f>
        <v>学前教育</v>
      </c>
      <c r="H479" s="7" t="str">
        <f t="shared" si="202"/>
        <v>专科</v>
      </c>
      <c r="I479" s="7" t="str">
        <f t="shared" si="191"/>
        <v>幼儿园教师资格</v>
      </c>
    </row>
    <row r="480" customHeight="1" spans="1:9">
      <c r="A480" s="6">
        <v>478</v>
      </c>
      <c r="B480" s="7" t="s">
        <v>10</v>
      </c>
      <c r="C480" s="8" t="str">
        <f>"刘金雀"</f>
        <v>刘金雀</v>
      </c>
      <c r="D480" s="8" t="str">
        <f t="shared" si="183"/>
        <v>女</v>
      </c>
      <c r="E480" s="7" t="str">
        <f>"510724199602144643"</f>
        <v>510724199602144643</v>
      </c>
      <c r="F480" s="7" t="str">
        <f t="shared" si="201"/>
        <v>琼台师范学院</v>
      </c>
      <c r="G480" s="7" t="str">
        <f t="shared" si="203"/>
        <v>学前教育</v>
      </c>
      <c r="H480" s="7" t="str">
        <f t="shared" si="202"/>
        <v>专科</v>
      </c>
      <c r="I480" s="7" t="str">
        <f t="shared" si="191"/>
        <v>幼儿园教师资格</v>
      </c>
    </row>
    <row r="481" customHeight="1" spans="1:9">
      <c r="A481" s="6">
        <v>479</v>
      </c>
      <c r="B481" s="7" t="s">
        <v>12</v>
      </c>
      <c r="C481" s="8" t="str">
        <f>"王小红"</f>
        <v>王小红</v>
      </c>
      <c r="D481" s="8" t="str">
        <f t="shared" si="183"/>
        <v>女</v>
      </c>
      <c r="E481" s="7" t="str">
        <f>"460004199608315222"</f>
        <v>460004199608315222</v>
      </c>
      <c r="F481" s="7" t="str">
        <f t="shared" si="201"/>
        <v>琼台师范学院</v>
      </c>
      <c r="G481" s="7" t="str">
        <f t="shared" si="203"/>
        <v>学前教育</v>
      </c>
      <c r="H481" s="7" t="str">
        <f t="shared" si="202"/>
        <v>专科</v>
      </c>
      <c r="I481" s="7" t="str">
        <f t="shared" si="191"/>
        <v>幼儿园教师资格</v>
      </c>
    </row>
    <row r="482" customHeight="1" spans="1:9">
      <c r="A482" s="6">
        <v>480</v>
      </c>
      <c r="B482" s="7" t="s">
        <v>10</v>
      </c>
      <c r="C482" s="8" t="str">
        <f>"邢舒晴"</f>
        <v>邢舒晴</v>
      </c>
      <c r="D482" s="8" t="str">
        <f t="shared" si="183"/>
        <v>女</v>
      </c>
      <c r="E482" s="7" t="str">
        <f>"460033199706183245"</f>
        <v>460033199706183245</v>
      </c>
      <c r="F482" s="7" t="str">
        <f>"太原师范学院"</f>
        <v>太原师范学院</v>
      </c>
      <c r="G482" s="7" t="str">
        <f>"学前教育专业"</f>
        <v>学前教育专业</v>
      </c>
      <c r="H482" s="7" t="str">
        <f>"本科"</f>
        <v>本科</v>
      </c>
      <c r="I482" s="7" t="str">
        <f t="shared" si="191"/>
        <v>幼儿园教师资格</v>
      </c>
    </row>
    <row r="483" customHeight="1" spans="1:9">
      <c r="A483" s="6">
        <v>481</v>
      </c>
      <c r="B483" s="7" t="s">
        <v>11</v>
      </c>
      <c r="C483" s="8" t="str">
        <f>"马雪丝"</f>
        <v>马雪丝</v>
      </c>
      <c r="D483" s="8" t="str">
        <f t="shared" si="183"/>
        <v>女</v>
      </c>
      <c r="E483" s="7" t="str">
        <f>"460003199806286825"</f>
        <v>460003199806286825</v>
      </c>
      <c r="F483" s="7" t="str">
        <f t="shared" ref="F483:F486" si="204">"琼台师范学院"</f>
        <v>琼台师范学院</v>
      </c>
      <c r="G483" s="7" t="str">
        <f t="shared" ref="G483:G491" si="205">"学前教育"</f>
        <v>学前教育</v>
      </c>
      <c r="H483" s="7" t="str">
        <f t="shared" ref="H483:H493" si="206">"专科"</f>
        <v>专科</v>
      </c>
      <c r="I483" s="7" t="str">
        <f t="shared" si="191"/>
        <v>幼儿园教师资格</v>
      </c>
    </row>
    <row r="484" customHeight="1" spans="1:9">
      <c r="A484" s="6">
        <v>482</v>
      </c>
      <c r="B484" s="7" t="s">
        <v>12</v>
      </c>
      <c r="C484" s="8" t="str">
        <f>"冯忠玉"</f>
        <v>冯忠玉</v>
      </c>
      <c r="D484" s="8" t="str">
        <f t="shared" si="183"/>
        <v>女</v>
      </c>
      <c r="E484" s="7" t="str">
        <f>"460006199510041625"</f>
        <v>460006199510041625</v>
      </c>
      <c r="F484" s="7" t="str">
        <f t="shared" si="204"/>
        <v>琼台师范学院</v>
      </c>
      <c r="G484" s="7" t="str">
        <f t="shared" si="205"/>
        <v>学前教育</v>
      </c>
      <c r="H484" s="7" t="str">
        <f>"专科(高职)"</f>
        <v>专科(高职)</v>
      </c>
      <c r="I484" s="7" t="str">
        <f t="shared" si="191"/>
        <v>幼儿园教师资格</v>
      </c>
    </row>
    <row r="485" customHeight="1" spans="1:9">
      <c r="A485" s="6">
        <v>483</v>
      </c>
      <c r="B485" s="7" t="s">
        <v>11</v>
      </c>
      <c r="C485" s="8" t="str">
        <f>"黎梅柳"</f>
        <v>黎梅柳</v>
      </c>
      <c r="D485" s="8" t="str">
        <f t="shared" si="183"/>
        <v>女</v>
      </c>
      <c r="E485" s="7" t="str">
        <f>"460003199912293025"</f>
        <v>460003199912293025</v>
      </c>
      <c r="F485" s="7" t="str">
        <f>"琼台师范学前"</f>
        <v>琼台师范学前</v>
      </c>
      <c r="G485" s="7" t="str">
        <f t="shared" si="205"/>
        <v>学前教育</v>
      </c>
      <c r="H485" s="7" t="str">
        <f>"专科(高职)"</f>
        <v>专科(高职)</v>
      </c>
      <c r="I485" s="7" t="str">
        <f t="shared" si="191"/>
        <v>幼儿园教师资格</v>
      </c>
    </row>
    <row r="486" customHeight="1" spans="1:9">
      <c r="A486" s="6">
        <v>484</v>
      </c>
      <c r="B486" s="7" t="s">
        <v>10</v>
      </c>
      <c r="C486" s="8" t="str">
        <f>"邓欢婷"</f>
        <v>邓欢婷</v>
      </c>
      <c r="D486" s="8" t="str">
        <f t="shared" si="183"/>
        <v>女</v>
      </c>
      <c r="E486" s="7" t="str">
        <f>"460003199803091424"</f>
        <v>460003199803091424</v>
      </c>
      <c r="F486" s="7" t="str">
        <f t="shared" si="204"/>
        <v>琼台师范学院</v>
      </c>
      <c r="G486" s="7" t="str">
        <f t="shared" si="205"/>
        <v>学前教育</v>
      </c>
      <c r="H486" s="7" t="str">
        <f t="shared" si="206"/>
        <v>专科</v>
      </c>
      <c r="I486" s="7" t="str">
        <f t="shared" si="191"/>
        <v>幼儿园教师资格</v>
      </c>
    </row>
    <row r="487" customHeight="1" spans="1:9">
      <c r="A487" s="6">
        <v>485</v>
      </c>
      <c r="B487" s="7" t="s">
        <v>11</v>
      </c>
      <c r="C487" s="8" t="str">
        <f>"李忠娃"</f>
        <v>李忠娃</v>
      </c>
      <c r="D487" s="8" t="str">
        <f t="shared" si="183"/>
        <v>女</v>
      </c>
      <c r="E487" s="7" t="str">
        <f>"460033199302023886"</f>
        <v>460033199302023886</v>
      </c>
      <c r="F487" s="7" t="str">
        <f>"海南热带海洋学院"</f>
        <v>海南热带海洋学院</v>
      </c>
      <c r="G487" s="7" t="str">
        <f t="shared" si="205"/>
        <v>学前教育</v>
      </c>
      <c r="H487" s="7" t="str">
        <f t="shared" si="206"/>
        <v>专科</v>
      </c>
      <c r="I487" s="7" t="str">
        <f t="shared" si="191"/>
        <v>幼儿园教师资格</v>
      </c>
    </row>
    <row r="488" customHeight="1" spans="1:9">
      <c r="A488" s="6">
        <v>486</v>
      </c>
      <c r="B488" s="7" t="s">
        <v>11</v>
      </c>
      <c r="C488" s="8" t="str">
        <f>"李振婧"</f>
        <v>李振婧</v>
      </c>
      <c r="D488" s="8" t="str">
        <f t="shared" si="183"/>
        <v>女</v>
      </c>
      <c r="E488" s="7" t="str">
        <f>"460031199607045223"</f>
        <v>460031199607045223</v>
      </c>
      <c r="F488" s="7" t="str">
        <f>"琼台师范学院"</f>
        <v>琼台师范学院</v>
      </c>
      <c r="G488" s="7" t="str">
        <f t="shared" si="205"/>
        <v>学前教育</v>
      </c>
      <c r="H488" s="7" t="str">
        <f t="shared" si="206"/>
        <v>专科</v>
      </c>
      <c r="I488" s="7" t="str">
        <f t="shared" si="191"/>
        <v>幼儿园教师资格</v>
      </c>
    </row>
    <row r="489" customHeight="1" spans="1:9">
      <c r="A489" s="6">
        <v>487</v>
      </c>
      <c r="B489" s="7" t="s">
        <v>12</v>
      </c>
      <c r="C489" s="8" t="str">
        <f>"黄思思"</f>
        <v>黄思思</v>
      </c>
      <c r="D489" s="8" t="str">
        <f t="shared" si="183"/>
        <v>女</v>
      </c>
      <c r="E489" s="7" t="str">
        <f>"460027199609110661"</f>
        <v>460027199609110661</v>
      </c>
      <c r="F489" s="7" t="str">
        <f t="shared" ref="F489:F494" si="207">"海南师范大学"</f>
        <v>海南师范大学</v>
      </c>
      <c r="G489" s="7" t="str">
        <f t="shared" si="205"/>
        <v>学前教育</v>
      </c>
      <c r="H489" s="7" t="str">
        <f t="shared" si="206"/>
        <v>专科</v>
      </c>
      <c r="I489" s="7" t="str">
        <f t="shared" si="191"/>
        <v>幼儿园教师资格</v>
      </c>
    </row>
    <row r="490" customHeight="1" spans="1:9">
      <c r="A490" s="6">
        <v>488</v>
      </c>
      <c r="B490" s="7" t="s">
        <v>11</v>
      </c>
      <c r="C490" s="8" t="str">
        <f>"杨思"</f>
        <v>杨思</v>
      </c>
      <c r="D490" s="8" t="str">
        <f t="shared" si="183"/>
        <v>女</v>
      </c>
      <c r="E490" s="7" t="str">
        <f>"460006199408030049"</f>
        <v>460006199408030049</v>
      </c>
      <c r="F490" s="7" t="str">
        <f>"广西幼儿师范高等专科学校"</f>
        <v>广西幼儿师范高等专科学校</v>
      </c>
      <c r="G490" s="7" t="str">
        <f t="shared" si="205"/>
        <v>学前教育</v>
      </c>
      <c r="H490" s="7" t="str">
        <f t="shared" si="206"/>
        <v>专科</v>
      </c>
      <c r="I490" s="7" t="str">
        <f t="shared" si="191"/>
        <v>幼儿园教师资格</v>
      </c>
    </row>
    <row r="491" customHeight="1" spans="1:9">
      <c r="A491" s="6">
        <v>489</v>
      </c>
      <c r="B491" s="7" t="s">
        <v>10</v>
      </c>
      <c r="C491" s="8" t="str">
        <f>"陈婧婧"</f>
        <v>陈婧婧</v>
      </c>
      <c r="D491" s="8" t="str">
        <f t="shared" si="183"/>
        <v>女</v>
      </c>
      <c r="E491" s="7" t="str">
        <f>"430224199810295182"</f>
        <v>430224199810295182</v>
      </c>
      <c r="F491" s="7" t="str">
        <f>"琼台师范学院"</f>
        <v>琼台师范学院</v>
      </c>
      <c r="G491" s="7" t="str">
        <f t="shared" si="205"/>
        <v>学前教育</v>
      </c>
      <c r="H491" s="7" t="str">
        <f t="shared" si="206"/>
        <v>专科</v>
      </c>
      <c r="I491" s="7" t="str">
        <f t="shared" si="191"/>
        <v>幼儿园教师资格</v>
      </c>
    </row>
    <row r="492" customHeight="1" spans="1:9">
      <c r="A492" s="6">
        <v>490</v>
      </c>
      <c r="B492" s="7" t="s">
        <v>11</v>
      </c>
      <c r="C492" s="8" t="str">
        <f>"林春梅"</f>
        <v>林春梅</v>
      </c>
      <c r="D492" s="8" t="str">
        <f t="shared" si="183"/>
        <v>女</v>
      </c>
      <c r="E492" s="7" t="str">
        <f>"460004199504075228"</f>
        <v>460004199504075228</v>
      </c>
      <c r="F492" s="7" t="str">
        <f t="shared" si="207"/>
        <v>海南师范大学</v>
      </c>
      <c r="G492" s="7" t="str">
        <f>"学前教育专业"</f>
        <v>学前教育专业</v>
      </c>
      <c r="H492" s="7" t="str">
        <f t="shared" si="206"/>
        <v>专科</v>
      </c>
      <c r="I492" s="7" t="str">
        <f t="shared" si="191"/>
        <v>幼儿园教师资格</v>
      </c>
    </row>
    <row r="493" customHeight="1" spans="1:9">
      <c r="A493" s="6">
        <v>491</v>
      </c>
      <c r="B493" s="7" t="s">
        <v>11</v>
      </c>
      <c r="C493" s="8" t="str">
        <f>"高柳"</f>
        <v>高柳</v>
      </c>
      <c r="D493" s="8" t="str">
        <f t="shared" si="183"/>
        <v>女</v>
      </c>
      <c r="E493" s="7" t="str">
        <f>"46000619900313232X"</f>
        <v>46000619900313232X</v>
      </c>
      <c r="F493" s="7" t="str">
        <f>"湖南师范大学"</f>
        <v>湖南师范大学</v>
      </c>
      <c r="G493" s="7" t="str">
        <f t="shared" ref="G493:G495" si="208">"学前教育"</f>
        <v>学前教育</v>
      </c>
      <c r="H493" s="7" t="str">
        <f t="shared" si="206"/>
        <v>专科</v>
      </c>
      <c r="I493" s="7" t="str">
        <f t="shared" si="191"/>
        <v>幼儿园教师资格</v>
      </c>
    </row>
    <row r="494" customHeight="1" spans="1:9">
      <c r="A494" s="6">
        <v>492</v>
      </c>
      <c r="B494" s="7" t="s">
        <v>11</v>
      </c>
      <c r="C494" s="8" t="str">
        <f>"苏丽玲"</f>
        <v>苏丽玲</v>
      </c>
      <c r="D494" s="8" t="str">
        <f t="shared" si="183"/>
        <v>女</v>
      </c>
      <c r="E494" s="7" t="str">
        <f>"46000719980522576X"</f>
        <v>46000719980522576X</v>
      </c>
      <c r="F494" s="7" t="str">
        <f t="shared" si="207"/>
        <v>海南师范大学</v>
      </c>
      <c r="G494" s="7" t="str">
        <f t="shared" si="208"/>
        <v>学前教育</v>
      </c>
      <c r="H494" s="7" t="str">
        <f>"专科(高职)"</f>
        <v>专科(高职)</v>
      </c>
      <c r="I494" s="7" t="str">
        <f t="shared" si="191"/>
        <v>幼儿园教师资格</v>
      </c>
    </row>
    <row r="495" customHeight="1" spans="1:9">
      <c r="A495" s="6">
        <v>493</v>
      </c>
      <c r="B495" s="7" t="s">
        <v>11</v>
      </c>
      <c r="C495" s="8" t="str">
        <f>"曾月花"</f>
        <v>曾月花</v>
      </c>
      <c r="D495" s="8" t="str">
        <f t="shared" si="183"/>
        <v>女</v>
      </c>
      <c r="E495" s="7" t="str">
        <f>"460003199601232823"</f>
        <v>460003199601232823</v>
      </c>
      <c r="F495" s="7" t="str">
        <f>"海口市琼台师范学院"</f>
        <v>海口市琼台师范学院</v>
      </c>
      <c r="G495" s="7" t="str">
        <f t="shared" si="208"/>
        <v>学前教育</v>
      </c>
      <c r="H495" s="7" t="str">
        <f t="shared" ref="H495:H502" si="209">"专科"</f>
        <v>专科</v>
      </c>
      <c r="I495" s="7" t="str">
        <f t="shared" si="191"/>
        <v>幼儿园教师资格</v>
      </c>
    </row>
    <row r="496" customHeight="1" spans="1:9">
      <c r="A496" s="6">
        <v>494</v>
      </c>
      <c r="B496" s="7" t="s">
        <v>11</v>
      </c>
      <c r="C496" s="8" t="str">
        <f>"周才英"</f>
        <v>周才英</v>
      </c>
      <c r="D496" s="8" t="str">
        <f t="shared" si="183"/>
        <v>女</v>
      </c>
      <c r="E496" s="7" t="str">
        <f>"460003199402204109"</f>
        <v>460003199402204109</v>
      </c>
      <c r="F496" s="7" t="str">
        <f>"西北师范大学知行学院"</f>
        <v>西北师范大学知行学院</v>
      </c>
      <c r="G496" s="12" t="s">
        <v>14</v>
      </c>
      <c r="H496" s="7" t="str">
        <f>"本科"</f>
        <v>本科</v>
      </c>
      <c r="I496" s="7" t="str">
        <f t="shared" si="191"/>
        <v>幼儿园教师资格</v>
      </c>
    </row>
    <row r="497" customHeight="1" spans="1:9">
      <c r="A497" s="6">
        <v>495</v>
      </c>
      <c r="B497" s="7" t="s">
        <v>12</v>
      </c>
      <c r="C497" s="8" t="str">
        <f>"林若娜"</f>
        <v>林若娜</v>
      </c>
      <c r="D497" s="8" t="str">
        <f t="shared" si="183"/>
        <v>女</v>
      </c>
      <c r="E497" s="7" t="str">
        <f>"460033199302156881"</f>
        <v>460033199302156881</v>
      </c>
      <c r="F497" s="7" t="str">
        <f>"海口市琼台师范学院"</f>
        <v>海口市琼台师范学院</v>
      </c>
      <c r="G497" s="7" t="str">
        <f t="shared" ref="G497:G500" si="210">"学前教育"</f>
        <v>学前教育</v>
      </c>
      <c r="H497" s="7" t="str">
        <f t="shared" si="209"/>
        <v>专科</v>
      </c>
      <c r="I497" s="7" t="str">
        <f t="shared" si="191"/>
        <v>幼儿园教师资格</v>
      </c>
    </row>
    <row r="498" customHeight="1" spans="1:9">
      <c r="A498" s="6">
        <v>496</v>
      </c>
      <c r="B498" s="7" t="s">
        <v>10</v>
      </c>
      <c r="C498" s="8" t="str">
        <f>"邓刘琼"</f>
        <v>邓刘琼</v>
      </c>
      <c r="D498" s="8" t="str">
        <f t="shared" si="183"/>
        <v>女</v>
      </c>
      <c r="E498" s="7" t="str">
        <f>"460003199203080828"</f>
        <v>460003199203080828</v>
      </c>
      <c r="F498" s="7" t="str">
        <f>"湖南师范大学"</f>
        <v>湖南师范大学</v>
      </c>
      <c r="G498" s="7" t="str">
        <f t="shared" si="210"/>
        <v>学前教育</v>
      </c>
      <c r="H498" s="7" t="str">
        <f t="shared" si="209"/>
        <v>专科</v>
      </c>
      <c r="I498" s="7" t="str">
        <f t="shared" si="191"/>
        <v>幼儿园教师资格</v>
      </c>
    </row>
    <row r="499" customHeight="1" spans="1:9">
      <c r="A499" s="6">
        <v>497</v>
      </c>
      <c r="B499" s="7" t="s">
        <v>11</v>
      </c>
      <c r="C499" s="8" t="str">
        <f>"符瑶灵"</f>
        <v>符瑶灵</v>
      </c>
      <c r="D499" s="8" t="str">
        <f t="shared" si="183"/>
        <v>女</v>
      </c>
      <c r="E499" s="7" t="str">
        <f>"460028199810060842"</f>
        <v>460028199810060842</v>
      </c>
      <c r="F499" s="7" t="str">
        <f>"西南大学"</f>
        <v>西南大学</v>
      </c>
      <c r="G499" s="7" t="str">
        <f t="shared" si="210"/>
        <v>学前教育</v>
      </c>
      <c r="H499" s="7" t="str">
        <f t="shared" si="209"/>
        <v>专科</v>
      </c>
      <c r="I499" s="7" t="str">
        <f t="shared" si="191"/>
        <v>幼儿园教师资格</v>
      </c>
    </row>
    <row r="500" customHeight="1" spans="1:9">
      <c r="A500" s="6">
        <v>498</v>
      </c>
      <c r="B500" s="7" t="s">
        <v>12</v>
      </c>
      <c r="C500" s="8" t="str">
        <f>"陈贤娴"</f>
        <v>陈贤娴</v>
      </c>
      <c r="D500" s="8" t="str">
        <f t="shared" ref="D500:D523" si="211">"女"</f>
        <v>女</v>
      </c>
      <c r="E500" s="7" t="str">
        <f>"46003319950408322X"</f>
        <v>46003319950408322X</v>
      </c>
      <c r="F500" s="7" t="str">
        <f t="shared" ref="F500:F502" si="212">"琼台师范学院"</f>
        <v>琼台师范学院</v>
      </c>
      <c r="G500" s="7" t="str">
        <f t="shared" si="210"/>
        <v>学前教育</v>
      </c>
      <c r="H500" s="7" t="str">
        <f t="shared" si="209"/>
        <v>专科</v>
      </c>
      <c r="I500" s="7" t="str">
        <f t="shared" si="191"/>
        <v>幼儿园教师资格</v>
      </c>
    </row>
    <row r="501" customHeight="1" spans="1:9">
      <c r="A501" s="6">
        <v>499</v>
      </c>
      <c r="B501" s="7" t="s">
        <v>12</v>
      </c>
      <c r="C501" s="8" t="str">
        <f>"苏梦琪"</f>
        <v>苏梦琪</v>
      </c>
      <c r="D501" s="8" t="str">
        <f t="shared" si="211"/>
        <v>女</v>
      </c>
      <c r="E501" s="7" t="str">
        <f>"460006199707246827"</f>
        <v>460006199707246827</v>
      </c>
      <c r="F501" s="7" t="str">
        <f t="shared" si="212"/>
        <v>琼台师范学院</v>
      </c>
      <c r="G501" s="7" t="str">
        <f>"学期教育"</f>
        <v>学期教育</v>
      </c>
      <c r="H501" s="7" t="str">
        <f t="shared" si="209"/>
        <v>专科</v>
      </c>
      <c r="I501" s="7" t="str">
        <f t="shared" si="191"/>
        <v>幼儿园教师资格</v>
      </c>
    </row>
    <row r="502" customHeight="1" spans="1:9">
      <c r="A502" s="6">
        <v>500</v>
      </c>
      <c r="B502" s="7" t="s">
        <v>12</v>
      </c>
      <c r="C502" s="8" t="str">
        <f>"王恒秋"</f>
        <v>王恒秋</v>
      </c>
      <c r="D502" s="8" t="str">
        <f t="shared" si="211"/>
        <v>女</v>
      </c>
      <c r="E502" s="7" t="str">
        <f>"460300199007230048"</f>
        <v>460300199007230048</v>
      </c>
      <c r="F502" s="7" t="str">
        <f t="shared" si="212"/>
        <v>琼台师范学院</v>
      </c>
      <c r="G502" s="7" t="str">
        <f>"学前教育专业"</f>
        <v>学前教育专业</v>
      </c>
      <c r="H502" s="7" t="str">
        <f t="shared" si="209"/>
        <v>专科</v>
      </c>
      <c r="I502" s="7" t="str">
        <f t="shared" si="191"/>
        <v>幼儿园教师资格</v>
      </c>
    </row>
    <row r="503" customHeight="1" spans="1:9">
      <c r="A503" s="6">
        <v>501</v>
      </c>
      <c r="B503" s="7" t="s">
        <v>10</v>
      </c>
      <c r="C503" s="8" t="str">
        <f>"符慧仙"</f>
        <v>符慧仙</v>
      </c>
      <c r="D503" s="8" t="str">
        <f t="shared" si="211"/>
        <v>女</v>
      </c>
      <c r="E503" s="7" t="str">
        <f>"460031199006302028"</f>
        <v>460031199006302028</v>
      </c>
      <c r="F503" s="7" t="str">
        <f t="shared" ref="F503:F508" si="213">"琼台师范高等专科学校"</f>
        <v>琼台师范高等专科学校</v>
      </c>
      <c r="G503" s="7" t="str">
        <f t="shared" ref="G503:G510" si="214">"学前教育"</f>
        <v>学前教育</v>
      </c>
      <c r="H503" s="7" t="str">
        <f>"专科(高职)"</f>
        <v>专科(高职)</v>
      </c>
      <c r="I503" s="7" t="str">
        <f t="shared" si="191"/>
        <v>幼儿园教师资格</v>
      </c>
    </row>
    <row r="504" customHeight="1" spans="1:9">
      <c r="A504" s="6">
        <v>502</v>
      </c>
      <c r="B504" s="7" t="s">
        <v>11</v>
      </c>
      <c r="C504" s="8" t="str">
        <f>"李清妮"</f>
        <v>李清妮</v>
      </c>
      <c r="D504" s="8" t="str">
        <f t="shared" si="211"/>
        <v>女</v>
      </c>
      <c r="E504" s="7" t="str">
        <f>"460006199209092044"</f>
        <v>460006199209092044</v>
      </c>
      <c r="F504" s="7" t="str">
        <f t="shared" si="213"/>
        <v>琼台师范高等专科学校</v>
      </c>
      <c r="G504" s="7" t="str">
        <f t="shared" si="214"/>
        <v>学前教育</v>
      </c>
      <c r="H504" s="7" t="str">
        <f t="shared" ref="H504:H507" si="215">"专科"</f>
        <v>专科</v>
      </c>
      <c r="I504" s="7" t="str">
        <f t="shared" si="191"/>
        <v>幼儿园教师资格</v>
      </c>
    </row>
    <row r="505" customHeight="1" spans="1:9">
      <c r="A505" s="6">
        <v>503</v>
      </c>
      <c r="B505" s="7" t="s">
        <v>11</v>
      </c>
      <c r="C505" s="8" t="str">
        <f>"蔡姗祺"</f>
        <v>蔡姗祺</v>
      </c>
      <c r="D505" s="8" t="str">
        <f t="shared" si="211"/>
        <v>女</v>
      </c>
      <c r="E505" s="7" t="str">
        <f>"460002199707150328"</f>
        <v>460002199707150328</v>
      </c>
      <c r="F505" s="7" t="str">
        <f t="shared" ref="F505:F507" si="216">"琼台师范学院"</f>
        <v>琼台师范学院</v>
      </c>
      <c r="G505" s="12" t="s">
        <v>14</v>
      </c>
      <c r="H505" s="7" t="str">
        <f t="shared" si="215"/>
        <v>专科</v>
      </c>
      <c r="I505" s="7" t="str">
        <f t="shared" si="191"/>
        <v>幼儿园教师资格</v>
      </c>
    </row>
    <row r="506" customHeight="1" spans="1:9">
      <c r="A506" s="6">
        <v>504</v>
      </c>
      <c r="B506" s="7" t="s">
        <v>11</v>
      </c>
      <c r="C506" s="8" t="str">
        <f>"李思琪"</f>
        <v>李思琪</v>
      </c>
      <c r="D506" s="8" t="str">
        <f t="shared" si="211"/>
        <v>女</v>
      </c>
      <c r="E506" s="7" t="str">
        <f>"460027199606070668"</f>
        <v>460027199606070668</v>
      </c>
      <c r="F506" s="7" t="str">
        <f t="shared" si="216"/>
        <v>琼台师范学院</v>
      </c>
      <c r="G506" s="7" t="str">
        <f t="shared" si="214"/>
        <v>学前教育</v>
      </c>
      <c r="H506" s="7" t="str">
        <f t="shared" si="215"/>
        <v>专科</v>
      </c>
      <c r="I506" s="7" t="str">
        <f t="shared" si="191"/>
        <v>幼儿园教师资格</v>
      </c>
    </row>
    <row r="507" customHeight="1" spans="1:9">
      <c r="A507" s="6">
        <v>505</v>
      </c>
      <c r="B507" s="7" t="s">
        <v>12</v>
      </c>
      <c r="C507" s="8" t="str">
        <f>"余海燕"</f>
        <v>余海燕</v>
      </c>
      <c r="D507" s="8" t="str">
        <f t="shared" si="211"/>
        <v>女</v>
      </c>
      <c r="E507" s="7" t="str">
        <f>"460006199603087825"</f>
        <v>460006199603087825</v>
      </c>
      <c r="F507" s="7" t="str">
        <f t="shared" si="216"/>
        <v>琼台师范学院</v>
      </c>
      <c r="G507" s="7" t="str">
        <f t="shared" si="214"/>
        <v>学前教育</v>
      </c>
      <c r="H507" s="7" t="str">
        <f t="shared" si="215"/>
        <v>专科</v>
      </c>
      <c r="I507" s="7" t="str">
        <f t="shared" si="191"/>
        <v>幼儿园教师资格</v>
      </c>
    </row>
    <row r="508" customHeight="1" spans="1:9">
      <c r="A508" s="6">
        <v>506</v>
      </c>
      <c r="B508" s="7" t="s">
        <v>12</v>
      </c>
      <c r="C508" s="8" t="str">
        <f>"张丹"</f>
        <v>张丹</v>
      </c>
      <c r="D508" s="8" t="str">
        <f t="shared" si="211"/>
        <v>女</v>
      </c>
      <c r="E508" s="7" t="str">
        <f>"460004199304230027"</f>
        <v>460004199304230027</v>
      </c>
      <c r="F508" s="7" t="str">
        <f t="shared" si="213"/>
        <v>琼台师范高等专科学校</v>
      </c>
      <c r="G508" s="7" t="str">
        <f t="shared" si="214"/>
        <v>学前教育</v>
      </c>
      <c r="H508" s="7" t="str">
        <f>"专科(高职)"</f>
        <v>专科(高职)</v>
      </c>
      <c r="I508" s="7" t="str">
        <f t="shared" si="191"/>
        <v>幼儿园教师资格</v>
      </c>
    </row>
    <row r="509" customHeight="1" spans="1:9">
      <c r="A509" s="6">
        <v>507</v>
      </c>
      <c r="B509" s="7" t="s">
        <v>11</v>
      </c>
      <c r="C509" s="8" t="str">
        <f>"钟秋梅"</f>
        <v>钟秋梅</v>
      </c>
      <c r="D509" s="8" t="str">
        <f t="shared" si="211"/>
        <v>女</v>
      </c>
      <c r="E509" s="7" t="str">
        <f>"460021199409134425"</f>
        <v>460021199409134425</v>
      </c>
      <c r="F509" s="7" t="str">
        <f>"海南师范大学"</f>
        <v>海南师范大学</v>
      </c>
      <c r="G509" s="7" t="str">
        <f t="shared" si="214"/>
        <v>学前教育</v>
      </c>
      <c r="H509" s="7" t="str">
        <f t="shared" ref="H509:H515" si="217">"专科"</f>
        <v>专科</v>
      </c>
      <c r="I509" s="7" t="str">
        <f t="shared" si="191"/>
        <v>幼儿园教师资格</v>
      </c>
    </row>
    <row r="510" customHeight="1" spans="1:9">
      <c r="A510" s="6">
        <v>508</v>
      </c>
      <c r="B510" s="7" t="s">
        <v>12</v>
      </c>
      <c r="C510" s="8" t="str">
        <f>"王少霞"</f>
        <v>王少霞</v>
      </c>
      <c r="D510" s="8" t="str">
        <f t="shared" si="211"/>
        <v>女</v>
      </c>
      <c r="E510" s="7" t="str">
        <f>"460027199509205946"</f>
        <v>460027199509205946</v>
      </c>
      <c r="F510" s="7" t="str">
        <f>"琼台师范高等专科学校"</f>
        <v>琼台师范高等专科学校</v>
      </c>
      <c r="G510" s="7" t="str">
        <f t="shared" si="214"/>
        <v>学前教育</v>
      </c>
      <c r="H510" s="7" t="str">
        <f t="shared" si="217"/>
        <v>专科</v>
      </c>
      <c r="I510" s="7" t="str">
        <f t="shared" si="191"/>
        <v>幼儿园教师资格</v>
      </c>
    </row>
    <row r="511" customHeight="1" spans="1:9">
      <c r="A511" s="6">
        <v>509</v>
      </c>
      <c r="B511" s="7" t="s">
        <v>12</v>
      </c>
      <c r="C511" s="8" t="str">
        <f>"曾孟婷"</f>
        <v>曾孟婷</v>
      </c>
      <c r="D511" s="8" t="str">
        <f t="shared" si="211"/>
        <v>女</v>
      </c>
      <c r="E511" s="7" t="str">
        <f>"460003199205102226"</f>
        <v>460003199205102226</v>
      </c>
      <c r="F511" s="7" t="str">
        <f>"海南省五指山市琼州学院"</f>
        <v>海南省五指山市琼州学院</v>
      </c>
      <c r="G511" s="7" t="str">
        <f>"学前教育（师范）"</f>
        <v>学前教育（师范）</v>
      </c>
      <c r="H511" s="7" t="str">
        <f t="shared" si="217"/>
        <v>专科</v>
      </c>
      <c r="I511" s="7" t="str">
        <f t="shared" si="191"/>
        <v>幼儿园教师资格</v>
      </c>
    </row>
    <row r="512" customHeight="1" spans="1:9">
      <c r="A512" s="6">
        <v>510</v>
      </c>
      <c r="B512" s="7" t="s">
        <v>12</v>
      </c>
      <c r="C512" s="8" t="str">
        <f>"邹升梅"</f>
        <v>邹升梅</v>
      </c>
      <c r="D512" s="8" t="str">
        <f t="shared" si="211"/>
        <v>女</v>
      </c>
      <c r="E512" s="7" t="str">
        <f>"460025199710203368"</f>
        <v>460025199710203368</v>
      </c>
      <c r="F512" s="7" t="str">
        <f>"琼台师范学院"</f>
        <v>琼台师范学院</v>
      </c>
      <c r="G512" s="7" t="str">
        <f t="shared" ref="G512:G514" si="218">"学前教育"</f>
        <v>学前教育</v>
      </c>
      <c r="H512" s="7" t="str">
        <f t="shared" si="217"/>
        <v>专科</v>
      </c>
      <c r="I512" s="7" t="str">
        <f t="shared" si="191"/>
        <v>幼儿园教师资格</v>
      </c>
    </row>
    <row r="513" customHeight="1" spans="1:9">
      <c r="A513" s="6">
        <v>511</v>
      </c>
      <c r="B513" s="7" t="s">
        <v>10</v>
      </c>
      <c r="C513" s="8" t="str">
        <f>"王月婧"</f>
        <v>王月婧</v>
      </c>
      <c r="D513" s="8" t="str">
        <f t="shared" si="211"/>
        <v>女</v>
      </c>
      <c r="E513" s="7" t="str">
        <f>"460003199910171825"</f>
        <v>460003199910171825</v>
      </c>
      <c r="F513" s="7" t="str">
        <f>"琼台师范学院"</f>
        <v>琼台师范学院</v>
      </c>
      <c r="G513" s="7" t="str">
        <f t="shared" si="218"/>
        <v>学前教育</v>
      </c>
      <c r="H513" s="7" t="str">
        <f t="shared" si="217"/>
        <v>专科</v>
      </c>
      <c r="I513" s="7" t="str">
        <f t="shared" si="191"/>
        <v>幼儿园教师资格</v>
      </c>
    </row>
    <row r="514" customHeight="1" spans="1:9">
      <c r="A514" s="6">
        <v>512</v>
      </c>
      <c r="B514" s="7" t="s">
        <v>12</v>
      </c>
      <c r="C514" s="8" t="str">
        <f>"王科艳"</f>
        <v>王科艳</v>
      </c>
      <c r="D514" s="8" t="str">
        <f t="shared" si="211"/>
        <v>女</v>
      </c>
      <c r="E514" s="7" t="str">
        <f>"460006199502200649"</f>
        <v>460006199502200649</v>
      </c>
      <c r="F514" s="7" t="str">
        <f>"海南师范大学"</f>
        <v>海南师范大学</v>
      </c>
      <c r="G514" s="7" t="str">
        <f t="shared" si="218"/>
        <v>学前教育</v>
      </c>
      <c r="H514" s="7" t="str">
        <f t="shared" si="217"/>
        <v>专科</v>
      </c>
      <c r="I514" s="7" t="str">
        <f t="shared" ref="I514:I577" si="219">"幼儿园教师资格"</f>
        <v>幼儿园教师资格</v>
      </c>
    </row>
    <row r="515" customHeight="1" spans="1:9">
      <c r="A515" s="6">
        <v>513</v>
      </c>
      <c r="B515" s="7" t="s">
        <v>11</v>
      </c>
      <c r="C515" s="8" t="str">
        <f>"吴一浪"</f>
        <v>吴一浪</v>
      </c>
      <c r="D515" s="8" t="str">
        <f t="shared" si="211"/>
        <v>女</v>
      </c>
      <c r="E515" s="7" t="str">
        <f>"460027199609287926"</f>
        <v>460027199609287926</v>
      </c>
      <c r="F515" s="7" t="str">
        <f>"琼台师范学校"</f>
        <v>琼台师范学校</v>
      </c>
      <c r="G515" s="7" t="str">
        <f>"学期教育"</f>
        <v>学期教育</v>
      </c>
      <c r="H515" s="7" t="str">
        <f t="shared" si="217"/>
        <v>专科</v>
      </c>
      <c r="I515" s="7" t="str">
        <f t="shared" si="219"/>
        <v>幼儿园教师资格</v>
      </c>
    </row>
    <row r="516" customHeight="1" spans="1:9">
      <c r="A516" s="6">
        <v>514</v>
      </c>
      <c r="B516" s="7" t="s">
        <v>10</v>
      </c>
      <c r="C516" s="8" t="str">
        <f>"陈燕转"</f>
        <v>陈燕转</v>
      </c>
      <c r="D516" s="8" t="str">
        <f t="shared" si="211"/>
        <v>女</v>
      </c>
      <c r="E516" s="7" t="str">
        <f>"460028199802092422"</f>
        <v>460028199802092422</v>
      </c>
      <c r="F516" s="7" t="str">
        <f>"井冈山大学 教育学院"</f>
        <v>井冈山大学 教育学院</v>
      </c>
      <c r="G516" s="7" t="str">
        <f t="shared" ref="G516:G536" si="220">"学前教育"</f>
        <v>学前教育</v>
      </c>
      <c r="H516" s="7" t="str">
        <f>"本科"</f>
        <v>本科</v>
      </c>
      <c r="I516" s="7" t="str">
        <f t="shared" si="219"/>
        <v>幼儿园教师资格</v>
      </c>
    </row>
    <row r="517" customHeight="1" spans="1:9">
      <c r="A517" s="6">
        <v>515</v>
      </c>
      <c r="B517" s="7" t="s">
        <v>12</v>
      </c>
      <c r="C517" s="8" t="str">
        <f>"吕秀妹"</f>
        <v>吕秀妹</v>
      </c>
      <c r="D517" s="8" t="str">
        <f t="shared" si="211"/>
        <v>女</v>
      </c>
      <c r="E517" s="7" t="str">
        <f>"460033199308177165"</f>
        <v>460033199308177165</v>
      </c>
      <c r="F517" s="7" t="str">
        <f>"海南热带海洋学院"</f>
        <v>海南热带海洋学院</v>
      </c>
      <c r="G517" s="7" t="str">
        <f t="shared" si="220"/>
        <v>学前教育</v>
      </c>
      <c r="H517" s="7" t="str">
        <f t="shared" ref="H517:H528" si="221">"专科"</f>
        <v>专科</v>
      </c>
      <c r="I517" s="7" t="str">
        <f t="shared" si="219"/>
        <v>幼儿园教师资格</v>
      </c>
    </row>
    <row r="518" customHeight="1" spans="1:9">
      <c r="A518" s="6">
        <v>516</v>
      </c>
      <c r="B518" s="7" t="s">
        <v>10</v>
      </c>
      <c r="C518" s="8" t="str">
        <f>"羊丽霞"</f>
        <v>羊丽霞</v>
      </c>
      <c r="D518" s="8" t="str">
        <f t="shared" si="211"/>
        <v>女</v>
      </c>
      <c r="E518" s="7" t="str">
        <f>"460003199610303443"</f>
        <v>460003199610303443</v>
      </c>
      <c r="F518" s="7" t="str">
        <f>"河南商丘学院"</f>
        <v>河南商丘学院</v>
      </c>
      <c r="G518" s="7" t="str">
        <f>"学前教育专业"</f>
        <v>学前教育专业</v>
      </c>
      <c r="H518" s="7" t="str">
        <f>"本科"</f>
        <v>本科</v>
      </c>
      <c r="I518" s="7" t="str">
        <f t="shared" si="219"/>
        <v>幼儿园教师资格</v>
      </c>
    </row>
    <row r="519" customHeight="1" spans="1:9">
      <c r="A519" s="6">
        <v>517</v>
      </c>
      <c r="B519" s="7" t="s">
        <v>11</v>
      </c>
      <c r="C519" s="8" t="str">
        <f>"李秋丽"</f>
        <v>李秋丽</v>
      </c>
      <c r="D519" s="8" t="str">
        <f t="shared" si="211"/>
        <v>女</v>
      </c>
      <c r="E519" s="7" t="str">
        <f>"460007199003067245"</f>
        <v>460007199003067245</v>
      </c>
      <c r="F519" s="7" t="str">
        <f>"海南省琼台师范高等专科学校"</f>
        <v>海南省琼台师范高等专科学校</v>
      </c>
      <c r="G519" s="7" t="str">
        <f>"学前教育（英语方向）"</f>
        <v>学前教育（英语方向）</v>
      </c>
      <c r="H519" s="7" t="str">
        <f t="shared" si="221"/>
        <v>专科</v>
      </c>
      <c r="I519" s="7" t="str">
        <f t="shared" si="219"/>
        <v>幼儿园教师资格</v>
      </c>
    </row>
    <row r="520" customHeight="1" spans="1:9">
      <c r="A520" s="6">
        <v>518</v>
      </c>
      <c r="B520" s="7" t="s">
        <v>11</v>
      </c>
      <c r="C520" s="8" t="str">
        <f>"何丕悦"</f>
        <v>何丕悦</v>
      </c>
      <c r="D520" s="8" t="str">
        <f t="shared" si="211"/>
        <v>女</v>
      </c>
      <c r="E520" s="7" t="str">
        <f>"460003199211246023"</f>
        <v>460003199211246023</v>
      </c>
      <c r="F520" s="7" t="str">
        <f>"琼台师范学院"</f>
        <v>琼台师范学院</v>
      </c>
      <c r="G520" s="7" t="str">
        <f t="shared" si="220"/>
        <v>学前教育</v>
      </c>
      <c r="H520" s="7" t="str">
        <f t="shared" si="221"/>
        <v>专科</v>
      </c>
      <c r="I520" s="7" t="str">
        <f t="shared" si="219"/>
        <v>幼儿园教师资格</v>
      </c>
    </row>
    <row r="521" customHeight="1" spans="1:9">
      <c r="A521" s="6">
        <v>519</v>
      </c>
      <c r="B521" s="7" t="s">
        <v>11</v>
      </c>
      <c r="C521" s="8" t="str">
        <f>"苏秀香"</f>
        <v>苏秀香</v>
      </c>
      <c r="D521" s="8" t="str">
        <f t="shared" si="211"/>
        <v>女</v>
      </c>
      <c r="E521" s="7" t="str">
        <f>"46000319941018542X"</f>
        <v>46000319941018542X</v>
      </c>
      <c r="F521" s="7" t="str">
        <f>"海南热带海洋学院"</f>
        <v>海南热带海洋学院</v>
      </c>
      <c r="G521" s="7" t="str">
        <f t="shared" si="220"/>
        <v>学前教育</v>
      </c>
      <c r="H521" s="7" t="str">
        <f t="shared" si="221"/>
        <v>专科</v>
      </c>
      <c r="I521" s="7" t="str">
        <f t="shared" si="219"/>
        <v>幼儿园教师资格</v>
      </c>
    </row>
    <row r="522" customHeight="1" spans="1:9">
      <c r="A522" s="6">
        <v>520</v>
      </c>
      <c r="B522" s="7" t="s">
        <v>12</v>
      </c>
      <c r="C522" s="8" t="str">
        <f>"黄荣仙"</f>
        <v>黄荣仙</v>
      </c>
      <c r="D522" s="8" t="str">
        <f t="shared" si="211"/>
        <v>女</v>
      </c>
      <c r="E522" s="7" t="str">
        <f>"460025199312250345"</f>
        <v>460025199312250345</v>
      </c>
      <c r="F522" s="7" t="str">
        <f>"海南师范大学高等教育自学"</f>
        <v>海南师范大学高等教育自学</v>
      </c>
      <c r="G522" s="7" t="str">
        <f t="shared" si="220"/>
        <v>学前教育</v>
      </c>
      <c r="H522" s="7" t="str">
        <f t="shared" si="221"/>
        <v>专科</v>
      </c>
      <c r="I522" s="7" t="str">
        <f t="shared" si="219"/>
        <v>幼儿园教师资格</v>
      </c>
    </row>
    <row r="523" customHeight="1" spans="1:9">
      <c r="A523" s="6">
        <v>521</v>
      </c>
      <c r="B523" s="7" t="s">
        <v>11</v>
      </c>
      <c r="C523" s="8" t="str">
        <f>"吴梅"</f>
        <v>吴梅</v>
      </c>
      <c r="D523" s="8" t="str">
        <f t="shared" si="211"/>
        <v>女</v>
      </c>
      <c r="E523" s="7" t="str">
        <f>"460103199606023321"</f>
        <v>460103199606023321</v>
      </c>
      <c r="F523" s="7" t="str">
        <f t="shared" ref="F523:F528" si="222">"琼台师范学院"</f>
        <v>琼台师范学院</v>
      </c>
      <c r="G523" s="7" t="str">
        <f t="shared" si="220"/>
        <v>学前教育</v>
      </c>
      <c r="H523" s="7" t="str">
        <f t="shared" si="221"/>
        <v>专科</v>
      </c>
      <c r="I523" s="7" t="str">
        <f t="shared" si="219"/>
        <v>幼儿园教师资格</v>
      </c>
    </row>
    <row r="524" customHeight="1" spans="1:9">
      <c r="A524" s="6">
        <v>522</v>
      </c>
      <c r="B524" s="7" t="s">
        <v>12</v>
      </c>
      <c r="C524" s="8" t="str">
        <f>"文天良"</f>
        <v>文天良</v>
      </c>
      <c r="D524" s="8" t="str">
        <f>"男"</f>
        <v>男</v>
      </c>
      <c r="E524" s="7" t="str">
        <f>"460033199110025975"</f>
        <v>460033199110025975</v>
      </c>
      <c r="F524" s="7" t="str">
        <f>"海南热带海洋学院"</f>
        <v>海南热带海洋学院</v>
      </c>
      <c r="G524" s="7" t="str">
        <f t="shared" si="220"/>
        <v>学前教育</v>
      </c>
      <c r="H524" s="7" t="str">
        <f t="shared" si="221"/>
        <v>专科</v>
      </c>
      <c r="I524" s="7" t="str">
        <f t="shared" si="219"/>
        <v>幼儿园教师资格</v>
      </c>
    </row>
    <row r="525" customHeight="1" spans="1:9">
      <c r="A525" s="6">
        <v>523</v>
      </c>
      <c r="B525" s="7" t="s">
        <v>11</v>
      </c>
      <c r="C525" s="8" t="str">
        <f>"高卉"</f>
        <v>高卉</v>
      </c>
      <c r="D525" s="8" t="str">
        <f t="shared" ref="D525:D557" si="223">"女"</f>
        <v>女</v>
      </c>
      <c r="E525" s="7" t="str">
        <f>"460030199310156022"</f>
        <v>460030199310156022</v>
      </c>
      <c r="F525" s="7" t="str">
        <f>"琼台师范高等专科学校"</f>
        <v>琼台师范高等专科学校</v>
      </c>
      <c r="G525" s="7" t="str">
        <f t="shared" si="220"/>
        <v>学前教育</v>
      </c>
      <c r="H525" s="7" t="str">
        <f t="shared" si="221"/>
        <v>专科</v>
      </c>
      <c r="I525" s="7" t="str">
        <f t="shared" si="219"/>
        <v>幼儿园教师资格</v>
      </c>
    </row>
    <row r="526" customHeight="1" spans="1:9">
      <c r="A526" s="6">
        <v>524</v>
      </c>
      <c r="B526" s="7" t="s">
        <v>10</v>
      </c>
      <c r="C526" s="8" t="str">
        <f>"陈虹"</f>
        <v>陈虹</v>
      </c>
      <c r="D526" s="8" t="str">
        <f t="shared" si="223"/>
        <v>女</v>
      </c>
      <c r="E526" s="7" t="str">
        <f>"460002199806234121"</f>
        <v>460002199806234121</v>
      </c>
      <c r="F526" s="7" t="str">
        <f t="shared" si="222"/>
        <v>琼台师范学院</v>
      </c>
      <c r="G526" s="7" t="str">
        <f t="shared" si="220"/>
        <v>学前教育</v>
      </c>
      <c r="H526" s="7" t="str">
        <f t="shared" si="221"/>
        <v>专科</v>
      </c>
      <c r="I526" s="7" t="str">
        <f t="shared" si="219"/>
        <v>幼儿园教师资格</v>
      </c>
    </row>
    <row r="527" customHeight="1" spans="1:9">
      <c r="A527" s="6">
        <v>525</v>
      </c>
      <c r="B527" s="7" t="s">
        <v>11</v>
      </c>
      <c r="C527" s="8" t="str">
        <f>"王兰雪"</f>
        <v>王兰雪</v>
      </c>
      <c r="D527" s="8" t="str">
        <f t="shared" si="223"/>
        <v>女</v>
      </c>
      <c r="E527" s="7" t="str">
        <f>"460006199511300027"</f>
        <v>460006199511300027</v>
      </c>
      <c r="F527" s="7" t="str">
        <f>"湖南师范大学"</f>
        <v>湖南师范大学</v>
      </c>
      <c r="G527" s="7" t="str">
        <f t="shared" si="220"/>
        <v>学前教育</v>
      </c>
      <c r="H527" s="7" t="str">
        <f t="shared" si="221"/>
        <v>专科</v>
      </c>
      <c r="I527" s="7" t="str">
        <f t="shared" si="219"/>
        <v>幼儿园教师资格</v>
      </c>
    </row>
    <row r="528" customHeight="1" spans="1:9">
      <c r="A528" s="6">
        <v>526</v>
      </c>
      <c r="B528" s="7" t="s">
        <v>12</v>
      </c>
      <c r="C528" s="8" t="str">
        <f>"王永爱"</f>
        <v>王永爱</v>
      </c>
      <c r="D528" s="8" t="str">
        <f t="shared" si="223"/>
        <v>女</v>
      </c>
      <c r="E528" s="7" t="str">
        <f>"460007199303085760"</f>
        <v>460007199303085760</v>
      </c>
      <c r="F528" s="7" t="str">
        <f t="shared" si="222"/>
        <v>琼台师范学院</v>
      </c>
      <c r="G528" s="7" t="str">
        <f t="shared" si="220"/>
        <v>学前教育</v>
      </c>
      <c r="H528" s="7" t="str">
        <f t="shared" si="221"/>
        <v>专科</v>
      </c>
      <c r="I528" s="7" t="str">
        <f t="shared" si="219"/>
        <v>幼儿园教师资格</v>
      </c>
    </row>
    <row r="529" customHeight="1" spans="1:9">
      <c r="A529" s="6">
        <v>527</v>
      </c>
      <c r="B529" s="7" t="s">
        <v>11</v>
      </c>
      <c r="C529" s="8" t="str">
        <f>"杨小燕"</f>
        <v>杨小燕</v>
      </c>
      <c r="D529" s="8" t="str">
        <f t="shared" si="223"/>
        <v>女</v>
      </c>
      <c r="E529" s="7" t="str">
        <f>"460006199606060628"</f>
        <v>460006199606060628</v>
      </c>
      <c r="F529" s="7" t="str">
        <f>"江西科技学院"</f>
        <v>江西科技学院</v>
      </c>
      <c r="G529" s="7" t="str">
        <f t="shared" si="220"/>
        <v>学前教育</v>
      </c>
      <c r="H529" s="7" t="str">
        <f>"本科"</f>
        <v>本科</v>
      </c>
      <c r="I529" s="7" t="str">
        <f t="shared" si="219"/>
        <v>幼儿园教师资格</v>
      </c>
    </row>
    <row r="530" customHeight="1" spans="1:9">
      <c r="A530" s="6">
        <v>528</v>
      </c>
      <c r="B530" s="7" t="s">
        <v>12</v>
      </c>
      <c r="C530" s="8" t="str">
        <f>"王琳"</f>
        <v>王琳</v>
      </c>
      <c r="D530" s="8" t="str">
        <f t="shared" si="223"/>
        <v>女</v>
      </c>
      <c r="E530" s="7" t="str">
        <f>"46002819951224642X"</f>
        <v>46002819951224642X</v>
      </c>
      <c r="F530" s="7" t="str">
        <f t="shared" ref="F530:F534" si="224">"琼台师范学院"</f>
        <v>琼台师范学院</v>
      </c>
      <c r="G530" s="7" t="str">
        <f t="shared" si="220"/>
        <v>学前教育</v>
      </c>
      <c r="H530" s="7" t="str">
        <f t="shared" ref="H530:H534" si="225">"专科"</f>
        <v>专科</v>
      </c>
      <c r="I530" s="7" t="str">
        <f t="shared" si="219"/>
        <v>幼儿园教师资格</v>
      </c>
    </row>
    <row r="531" customHeight="1" spans="1:9">
      <c r="A531" s="6">
        <v>529</v>
      </c>
      <c r="B531" s="7" t="s">
        <v>11</v>
      </c>
      <c r="C531" s="8" t="str">
        <f>"王艳霞"</f>
        <v>王艳霞</v>
      </c>
      <c r="D531" s="8" t="str">
        <f t="shared" si="223"/>
        <v>女</v>
      </c>
      <c r="E531" s="7" t="str">
        <f>"460200199305084047"</f>
        <v>460200199305084047</v>
      </c>
      <c r="F531" s="7" t="str">
        <f>"海南热带海洋学院"</f>
        <v>海南热带海洋学院</v>
      </c>
      <c r="G531" s="7" t="str">
        <f t="shared" si="220"/>
        <v>学前教育</v>
      </c>
      <c r="H531" s="7" t="str">
        <f t="shared" si="225"/>
        <v>专科</v>
      </c>
      <c r="I531" s="7" t="str">
        <f t="shared" si="219"/>
        <v>幼儿园教师资格</v>
      </c>
    </row>
    <row r="532" customHeight="1" spans="1:9">
      <c r="A532" s="6">
        <v>530</v>
      </c>
      <c r="B532" s="7" t="s">
        <v>11</v>
      </c>
      <c r="C532" s="8" t="str">
        <f>"吴秋玲"</f>
        <v>吴秋玲</v>
      </c>
      <c r="D532" s="8" t="str">
        <f t="shared" si="223"/>
        <v>女</v>
      </c>
      <c r="E532" s="7" t="str">
        <f>"460027199901078507"</f>
        <v>460027199901078507</v>
      </c>
      <c r="F532" s="7" t="str">
        <f t="shared" si="224"/>
        <v>琼台师范学院</v>
      </c>
      <c r="G532" s="7" t="str">
        <f t="shared" si="220"/>
        <v>学前教育</v>
      </c>
      <c r="H532" s="7" t="str">
        <f t="shared" si="225"/>
        <v>专科</v>
      </c>
      <c r="I532" s="7" t="str">
        <f t="shared" si="219"/>
        <v>幼儿园教师资格</v>
      </c>
    </row>
    <row r="533" customHeight="1" spans="1:9">
      <c r="A533" s="6">
        <v>531</v>
      </c>
      <c r="B533" s="7" t="s">
        <v>11</v>
      </c>
      <c r="C533" s="8" t="str">
        <f>"唐海芬"</f>
        <v>唐海芬</v>
      </c>
      <c r="D533" s="8" t="str">
        <f t="shared" si="223"/>
        <v>女</v>
      </c>
      <c r="E533" s="7" t="str">
        <f>"460034199405295821"</f>
        <v>460034199405295821</v>
      </c>
      <c r="F533" s="7" t="str">
        <f>"湖南师范大学"</f>
        <v>湖南师范大学</v>
      </c>
      <c r="G533" s="7" t="str">
        <f t="shared" si="220"/>
        <v>学前教育</v>
      </c>
      <c r="H533" s="7" t="str">
        <f t="shared" si="225"/>
        <v>专科</v>
      </c>
      <c r="I533" s="7" t="str">
        <f t="shared" si="219"/>
        <v>幼儿园教师资格</v>
      </c>
    </row>
    <row r="534" customHeight="1" spans="1:9">
      <c r="A534" s="6">
        <v>532</v>
      </c>
      <c r="B534" s="7" t="s">
        <v>11</v>
      </c>
      <c r="C534" s="8" t="str">
        <f>"李兑香"</f>
        <v>李兑香</v>
      </c>
      <c r="D534" s="8" t="str">
        <f t="shared" si="223"/>
        <v>女</v>
      </c>
      <c r="E534" s="7" t="str">
        <f>"460003199406072262"</f>
        <v>460003199406072262</v>
      </c>
      <c r="F534" s="7" t="str">
        <f t="shared" si="224"/>
        <v>琼台师范学院</v>
      </c>
      <c r="G534" s="7" t="str">
        <f t="shared" si="220"/>
        <v>学前教育</v>
      </c>
      <c r="H534" s="7" t="str">
        <f t="shared" si="225"/>
        <v>专科</v>
      </c>
      <c r="I534" s="7" t="str">
        <f t="shared" si="219"/>
        <v>幼儿园教师资格</v>
      </c>
    </row>
    <row r="535" customHeight="1" spans="1:9">
      <c r="A535" s="6">
        <v>533</v>
      </c>
      <c r="B535" s="7" t="s">
        <v>12</v>
      </c>
      <c r="C535" s="8" t="str">
        <f>"郭娴"</f>
        <v>郭娴</v>
      </c>
      <c r="D535" s="8" t="str">
        <f t="shared" si="223"/>
        <v>女</v>
      </c>
      <c r="E535" s="7" t="str">
        <f>"46002519960213422X"</f>
        <v>46002519960213422X</v>
      </c>
      <c r="F535" s="7" t="str">
        <f>"衡水学院"</f>
        <v>衡水学院</v>
      </c>
      <c r="G535" s="7" t="str">
        <f t="shared" si="220"/>
        <v>学前教育</v>
      </c>
      <c r="H535" s="7" t="str">
        <f>"本科"</f>
        <v>本科</v>
      </c>
      <c r="I535" s="7" t="str">
        <f t="shared" si="219"/>
        <v>幼儿园教师资格</v>
      </c>
    </row>
    <row r="536" customHeight="1" spans="1:9">
      <c r="A536" s="6">
        <v>534</v>
      </c>
      <c r="B536" s="7" t="s">
        <v>11</v>
      </c>
      <c r="C536" s="8" t="str">
        <f>"曾桂妃"</f>
        <v>曾桂妃</v>
      </c>
      <c r="D536" s="8" t="str">
        <f t="shared" si="223"/>
        <v>女</v>
      </c>
      <c r="E536" s="7" t="str">
        <f>"460006199707154826"</f>
        <v>460006199707154826</v>
      </c>
      <c r="F536" s="7" t="str">
        <f t="shared" ref="F536:F539" si="226">"琼台师范学院"</f>
        <v>琼台师范学院</v>
      </c>
      <c r="G536" s="7" t="str">
        <f t="shared" si="220"/>
        <v>学前教育</v>
      </c>
      <c r="H536" s="7" t="str">
        <f t="shared" ref="H536:H539" si="227">"专科"</f>
        <v>专科</v>
      </c>
      <c r="I536" s="7" t="str">
        <f t="shared" si="219"/>
        <v>幼儿园教师资格</v>
      </c>
    </row>
    <row r="537" customHeight="1" spans="1:9">
      <c r="A537" s="6">
        <v>535</v>
      </c>
      <c r="B537" s="7" t="s">
        <v>10</v>
      </c>
      <c r="C537" s="8" t="str">
        <f>"符孙梅"</f>
        <v>符孙梅</v>
      </c>
      <c r="D537" s="8" t="str">
        <f t="shared" si="223"/>
        <v>女</v>
      </c>
      <c r="E537" s="7" t="str">
        <f>"460007199104087288"</f>
        <v>460007199104087288</v>
      </c>
      <c r="F537" s="7" t="str">
        <f t="shared" si="226"/>
        <v>琼台师范学院</v>
      </c>
      <c r="G537" s="7" t="str">
        <f>"学前教育专业"</f>
        <v>学前教育专业</v>
      </c>
      <c r="H537" s="7" t="str">
        <f t="shared" si="227"/>
        <v>专科</v>
      </c>
      <c r="I537" s="7" t="str">
        <f t="shared" si="219"/>
        <v>幼儿园教师资格</v>
      </c>
    </row>
    <row r="538" customHeight="1" spans="1:9">
      <c r="A538" s="6">
        <v>536</v>
      </c>
      <c r="B538" s="7" t="s">
        <v>10</v>
      </c>
      <c r="C538" s="8" t="str">
        <f>"钟风立"</f>
        <v>钟风立</v>
      </c>
      <c r="D538" s="8" t="str">
        <f t="shared" si="223"/>
        <v>女</v>
      </c>
      <c r="E538" s="7" t="str">
        <f>"460033199407203242"</f>
        <v>460033199407203242</v>
      </c>
      <c r="F538" s="7" t="str">
        <f>"海南热带海洋学院"</f>
        <v>海南热带海洋学院</v>
      </c>
      <c r="G538" s="7" t="str">
        <f t="shared" ref="G538:G542" si="228">"学前教育"</f>
        <v>学前教育</v>
      </c>
      <c r="H538" s="7" t="str">
        <f t="shared" si="227"/>
        <v>专科</v>
      </c>
      <c r="I538" s="7" t="str">
        <f t="shared" si="219"/>
        <v>幼儿园教师资格</v>
      </c>
    </row>
    <row r="539" customHeight="1" spans="1:9">
      <c r="A539" s="6">
        <v>537</v>
      </c>
      <c r="B539" s="7" t="s">
        <v>11</v>
      </c>
      <c r="C539" s="8" t="str">
        <f>"符妹珠"</f>
        <v>符妹珠</v>
      </c>
      <c r="D539" s="8" t="str">
        <f t="shared" si="223"/>
        <v>女</v>
      </c>
      <c r="E539" s="7" t="str">
        <f>"460028199611076825"</f>
        <v>460028199611076825</v>
      </c>
      <c r="F539" s="7" t="str">
        <f t="shared" si="226"/>
        <v>琼台师范学院</v>
      </c>
      <c r="G539" s="7" t="str">
        <f t="shared" si="228"/>
        <v>学前教育</v>
      </c>
      <c r="H539" s="7" t="str">
        <f t="shared" si="227"/>
        <v>专科</v>
      </c>
      <c r="I539" s="7" t="str">
        <f t="shared" si="219"/>
        <v>幼儿园教师资格</v>
      </c>
    </row>
    <row r="540" customHeight="1" spans="1:9">
      <c r="A540" s="6">
        <v>538</v>
      </c>
      <c r="B540" s="7" t="s">
        <v>10</v>
      </c>
      <c r="C540" s="8" t="str">
        <f>"蔡汝娜"</f>
        <v>蔡汝娜</v>
      </c>
      <c r="D540" s="8" t="str">
        <f t="shared" si="223"/>
        <v>女</v>
      </c>
      <c r="E540" s="7" t="str">
        <f>"460004199210122287"</f>
        <v>460004199210122287</v>
      </c>
      <c r="F540" s="7" t="str">
        <f>"曲靖师范学院"</f>
        <v>曲靖师范学院</v>
      </c>
      <c r="G540" s="7" t="str">
        <f t="shared" si="228"/>
        <v>学前教育</v>
      </c>
      <c r="H540" s="7" t="str">
        <f t="shared" ref="H540:H544" si="229">"本科"</f>
        <v>本科</v>
      </c>
      <c r="I540" s="7" t="str">
        <f t="shared" si="219"/>
        <v>幼儿园教师资格</v>
      </c>
    </row>
    <row r="541" customHeight="1" spans="1:9">
      <c r="A541" s="6">
        <v>539</v>
      </c>
      <c r="B541" s="7" t="s">
        <v>10</v>
      </c>
      <c r="C541" s="8" t="str">
        <f>"符其丹"</f>
        <v>符其丹</v>
      </c>
      <c r="D541" s="8" t="str">
        <f t="shared" si="223"/>
        <v>女</v>
      </c>
      <c r="E541" s="7" t="str">
        <f>"469003199504263749"</f>
        <v>469003199504263749</v>
      </c>
      <c r="F541" s="7" t="str">
        <f>"海南省琼台师范学院"</f>
        <v>海南省琼台师范学院</v>
      </c>
      <c r="G541" s="7" t="str">
        <f t="shared" si="228"/>
        <v>学前教育</v>
      </c>
      <c r="H541" s="7" t="str">
        <f t="shared" ref="H541:H549" si="230">"专科"</f>
        <v>专科</v>
      </c>
      <c r="I541" s="7" t="str">
        <f t="shared" si="219"/>
        <v>幼儿园教师资格</v>
      </c>
    </row>
    <row r="542" customHeight="1" spans="1:9">
      <c r="A542" s="6">
        <v>540</v>
      </c>
      <c r="B542" s="7" t="s">
        <v>10</v>
      </c>
      <c r="C542" s="8" t="str">
        <f>"左亦灵"</f>
        <v>左亦灵</v>
      </c>
      <c r="D542" s="8" t="str">
        <f t="shared" si="223"/>
        <v>女</v>
      </c>
      <c r="E542" s="7" t="str">
        <f>"520203199512176564"</f>
        <v>520203199512176564</v>
      </c>
      <c r="F542" s="7" t="str">
        <f>"琼台师范学院"</f>
        <v>琼台师范学院</v>
      </c>
      <c r="G542" s="7" t="str">
        <f t="shared" si="228"/>
        <v>学前教育</v>
      </c>
      <c r="H542" s="7" t="str">
        <f t="shared" si="230"/>
        <v>专科</v>
      </c>
      <c r="I542" s="7" t="str">
        <f t="shared" si="219"/>
        <v>幼儿园教师资格</v>
      </c>
    </row>
    <row r="543" customHeight="1" spans="1:9">
      <c r="A543" s="6">
        <v>541</v>
      </c>
      <c r="B543" s="7" t="s">
        <v>10</v>
      </c>
      <c r="C543" s="8" t="str">
        <f>"王玲"</f>
        <v>王玲</v>
      </c>
      <c r="D543" s="8" t="str">
        <f t="shared" si="223"/>
        <v>女</v>
      </c>
      <c r="E543" s="7" t="str">
        <f>"469024199301160821"</f>
        <v>469024199301160821</v>
      </c>
      <c r="F543" s="7" t="str">
        <f>"忻州师范学院"</f>
        <v>忻州师范学院</v>
      </c>
      <c r="G543" s="7" t="str">
        <f>"学前教育专业"</f>
        <v>学前教育专业</v>
      </c>
      <c r="H543" s="7" t="str">
        <f t="shared" si="229"/>
        <v>本科</v>
      </c>
      <c r="I543" s="7" t="str">
        <f t="shared" si="219"/>
        <v>幼儿园教师资格</v>
      </c>
    </row>
    <row r="544" customHeight="1" spans="1:9">
      <c r="A544" s="6">
        <v>542</v>
      </c>
      <c r="B544" s="7" t="s">
        <v>10</v>
      </c>
      <c r="C544" s="8" t="str">
        <f>"张潇"</f>
        <v>张潇</v>
      </c>
      <c r="D544" s="8" t="str">
        <f t="shared" si="223"/>
        <v>女</v>
      </c>
      <c r="E544" s="7" t="str">
        <f>"422826199702025041"</f>
        <v>422826199702025041</v>
      </c>
      <c r="F544" s="7" t="str">
        <f>"海南师范大学"</f>
        <v>海南师范大学</v>
      </c>
      <c r="G544" s="7" t="str">
        <f t="shared" ref="G544:G551" si="231">"学前教育"</f>
        <v>学前教育</v>
      </c>
      <c r="H544" s="7" t="str">
        <f t="shared" si="229"/>
        <v>本科</v>
      </c>
      <c r="I544" s="7" t="str">
        <f t="shared" si="219"/>
        <v>幼儿园教师资格</v>
      </c>
    </row>
    <row r="545" customHeight="1" spans="1:9">
      <c r="A545" s="6">
        <v>543</v>
      </c>
      <c r="B545" s="7" t="s">
        <v>10</v>
      </c>
      <c r="C545" s="8" t="str">
        <f>"庞建萍"</f>
        <v>庞建萍</v>
      </c>
      <c r="D545" s="8" t="str">
        <f t="shared" si="223"/>
        <v>女</v>
      </c>
      <c r="E545" s="7" t="str">
        <f>"460004199301192627"</f>
        <v>460004199301192627</v>
      </c>
      <c r="F545" s="7" t="str">
        <f>"琼台师范高等专科学校"</f>
        <v>琼台师范高等专科学校</v>
      </c>
      <c r="G545" s="7" t="str">
        <f t="shared" si="231"/>
        <v>学前教育</v>
      </c>
      <c r="H545" s="7" t="str">
        <f t="shared" si="230"/>
        <v>专科</v>
      </c>
      <c r="I545" s="7" t="str">
        <f t="shared" si="219"/>
        <v>幼儿园教师资格</v>
      </c>
    </row>
    <row r="546" customHeight="1" spans="1:9">
      <c r="A546" s="6">
        <v>544</v>
      </c>
      <c r="B546" s="7" t="s">
        <v>10</v>
      </c>
      <c r="C546" s="8" t="str">
        <f>"李建丹"</f>
        <v>李建丹</v>
      </c>
      <c r="D546" s="8" t="str">
        <f t="shared" si="223"/>
        <v>女</v>
      </c>
      <c r="E546" s="7" t="str">
        <f>"46000319950227266X"</f>
        <v>46000319950227266X</v>
      </c>
      <c r="F546" s="7" t="str">
        <f>"湖北江汉艺术职业学院"</f>
        <v>湖北江汉艺术职业学院</v>
      </c>
      <c r="G546" s="7" t="str">
        <f t="shared" si="231"/>
        <v>学前教育</v>
      </c>
      <c r="H546" s="7" t="str">
        <f t="shared" si="230"/>
        <v>专科</v>
      </c>
      <c r="I546" s="7" t="str">
        <f t="shared" si="219"/>
        <v>幼儿园教师资格</v>
      </c>
    </row>
    <row r="547" customHeight="1" spans="1:9">
      <c r="A547" s="6">
        <v>545</v>
      </c>
      <c r="B547" s="7" t="s">
        <v>11</v>
      </c>
      <c r="C547" s="8" t="str">
        <f>"梁慧卿"</f>
        <v>梁慧卿</v>
      </c>
      <c r="D547" s="8" t="str">
        <f t="shared" si="223"/>
        <v>女</v>
      </c>
      <c r="E547" s="7" t="str">
        <f>"460004199704022227"</f>
        <v>460004199704022227</v>
      </c>
      <c r="F547" s="7" t="str">
        <f>"琼台师范学院"</f>
        <v>琼台师范学院</v>
      </c>
      <c r="G547" s="7" t="str">
        <f t="shared" si="231"/>
        <v>学前教育</v>
      </c>
      <c r="H547" s="7" t="str">
        <f t="shared" si="230"/>
        <v>专科</v>
      </c>
      <c r="I547" s="7" t="str">
        <f t="shared" si="219"/>
        <v>幼儿园教师资格</v>
      </c>
    </row>
    <row r="548" customHeight="1" spans="1:9">
      <c r="A548" s="6">
        <v>546</v>
      </c>
      <c r="B548" s="7" t="s">
        <v>11</v>
      </c>
      <c r="C548" s="8" t="str">
        <f>"钟玲华"</f>
        <v>钟玲华</v>
      </c>
      <c r="D548" s="8" t="str">
        <f t="shared" si="223"/>
        <v>女</v>
      </c>
      <c r="E548" s="7" t="str">
        <f>"460003199201302669"</f>
        <v>460003199201302669</v>
      </c>
      <c r="F548" s="7" t="str">
        <f>"琼州学院"</f>
        <v>琼州学院</v>
      </c>
      <c r="G548" s="7" t="str">
        <f t="shared" si="231"/>
        <v>学前教育</v>
      </c>
      <c r="H548" s="7" t="str">
        <f t="shared" si="230"/>
        <v>专科</v>
      </c>
      <c r="I548" s="7" t="str">
        <f t="shared" si="219"/>
        <v>幼儿园教师资格</v>
      </c>
    </row>
    <row r="549" customHeight="1" spans="1:9">
      <c r="A549" s="6">
        <v>547</v>
      </c>
      <c r="B549" s="7" t="s">
        <v>11</v>
      </c>
      <c r="C549" s="8" t="str">
        <f>"严小娟"</f>
        <v>严小娟</v>
      </c>
      <c r="D549" s="8" t="str">
        <f t="shared" si="223"/>
        <v>女</v>
      </c>
      <c r="E549" s="7" t="str">
        <f>"460006199705070223"</f>
        <v>460006199705070223</v>
      </c>
      <c r="F549" s="7" t="str">
        <f>"海南热带海洋学院"</f>
        <v>海南热带海洋学院</v>
      </c>
      <c r="G549" s="7" t="str">
        <f t="shared" si="231"/>
        <v>学前教育</v>
      </c>
      <c r="H549" s="7" t="str">
        <f t="shared" si="230"/>
        <v>专科</v>
      </c>
      <c r="I549" s="7" t="str">
        <f t="shared" si="219"/>
        <v>幼儿园教师资格</v>
      </c>
    </row>
    <row r="550" customHeight="1" spans="1:9">
      <c r="A550" s="6">
        <v>548</v>
      </c>
      <c r="B550" s="7" t="s">
        <v>10</v>
      </c>
      <c r="C550" s="8" t="str">
        <f>"李昱葵"</f>
        <v>李昱葵</v>
      </c>
      <c r="D550" s="8" t="str">
        <f t="shared" si="223"/>
        <v>女</v>
      </c>
      <c r="E550" s="7" t="str">
        <f>"460002199606066426"</f>
        <v>460002199606066426</v>
      </c>
      <c r="F550" s="7" t="str">
        <f>"井冈山大学 教育学院"</f>
        <v>井冈山大学 教育学院</v>
      </c>
      <c r="G550" s="7" t="str">
        <f t="shared" si="231"/>
        <v>学前教育</v>
      </c>
      <c r="H550" s="7" t="str">
        <f>"本科"</f>
        <v>本科</v>
      </c>
      <c r="I550" s="7" t="str">
        <f t="shared" si="219"/>
        <v>幼儿园教师资格</v>
      </c>
    </row>
    <row r="551" customHeight="1" spans="1:9">
      <c r="A551" s="6">
        <v>549</v>
      </c>
      <c r="B551" s="7" t="s">
        <v>11</v>
      </c>
      <c r="C551" s="8" t="str">
        <f>"陈娜"</f>
        <v>陈娜</v>
      </c>
      <c r="D551" s="8" t="str">
        <f t="shared" si="223"/>
        <v>女</v>
      </c>
      <c r="E551" s="7" t="str">
        <f>"460034199501046120"</f>
        <v>460034199501046120</v>
      </c>
      <c r="F551" s="7" t="str">
        <f>"琼台师范高等专科学校"</f>
        <v>琼台师范高等专科学校</v>
      </c>
      <c r="G551" s="7" t="str">
        <f t="shared" si="231"/>
        <v>学前教育</v>
      </c>
      <c r="H551" s="7" t="str">
        <f t="shared" ref="H551:H557" si="232">"专科"</f>
        <v>专科</v>
      </c>
      <c r="I551" s="7" t="str">
        <f t="shared" si="219"/>
        <v>幼儿园教师资格</v>
      </c>
    </row>
    <row r="552" customHeight="1" spans="1:9">
      <c r="A552" s="6">
        <v>550</v>
      </c>
      <c r="B552" s="7" t="s">
        <v>12</v>
      </c>
      <c r="C552" s="8" t="str">
        <f>"董晓丹"</f>
        <v>董晓丹</v>
      </c>
      <c r="D552" s="8" t="str">
        <f t="shared" si="223"/>
        <v>女</v>
      </c>
      <c r="E552" s="7" t="str">
        <f>"460200199602094022"</f>
        <v>460200199602094022</v>
      </c>
      <c r="F552" s="7" t="str">
        <f t="shared" ref="F552:F555" si="233">"琼台师范学院"</f>
        <v>琼台师范学院</v>
      </c>
      <c r="G552" s="7" t="str">
        <f>"学前教育(英语教育方向)"</f>
        <v>学前教育(英语教育方向)</v>
      </c>
      <c r="H552" s="7" t="str">
        <f t="shared" si="232"/>
        <v>专科</v>
      </c>
      <c r="I552" s="7" t="str">
        <f t="shared" si="219"/>
        <v>幼儿园教师资格</v>
      </c>
    </row>
    <row r="553" customHeight="1" spans="1:9">
      <c r="A553" s="6">
        <v>551</v>
      </c>
      <c r="B553" s="7" t="s">
        <v>11</v>
      </c>
      <c r="C553" s="8" t="str">
        <f>"黄晓慧"</f>
        <v>黄晓慧</v>
      </c>
      <c r="D553" s="8" t="str">
        <f t="shared" si="223"/>
        <v>女</v>
      </c>
      <c r="E553" s="7" t="str">
        <f>"460025199603262426"</f>
        <v>460025199603262426</v>
      </c>
      <c r="F553" s="7" t="str">
        <f t="shared" si="233"/>
        <v>琼台师范学院</v>
      </c>
      <c r="G553" s="7" t="str">
        <f>"学前教育专业"</f>
        <v>学前教育专业</v>
      </c>
      <c r="H553" s="7" t="str">
        <f t="shared" si="232"/>
        <v>专科</v>
      </c>
      <c r="I553" s="7" t="str">
        <f t="shared" si="219"/>
        <v>幼儿园教师资格</v>
      </c>
    </row>
    <row r="554" customHeight="1" spans="1:9">
      <c r="A554" s="6">
        <v>552</v>
      </c>
      <c r="B554" s="7" t="s">
        <v>12</v>
      </c>
      <c r="C554" s="8" t="str">
        <f>"柳忠慧"</f>
        <v>柳忠慧</v>
      </c>
      <c r="D554" s="8" t="str">
        <f t="shared" si="223"/>
        <v>女</v>
      </c>
      <c r="E554" s="7" t="str">
        <f>"460003199507086647"</f>
        <v>460003199507086647</v>
      </c>
      <c r="F554" s="7" t="str">
        <f t="shared" si="233"/>
        <v>琼台师范学院</v>
      </c>
      <c r="G554" s="7" t="str">
        <f t="shared" ref="G554:G586" si="234">"学前教育"</f>
        <v>学前教育</v>
      </c>
      <c r="H554" s="7" t="str">
        <f t="shared" si="232"/>
        <v>专科</v>
      </c>
      <c r="I554" s="7" t="str">
        <f t="shared" si="219"/>
        <v>幼儿园教师资格</v>
      </c>
    </row>
    <row r="555" customHeight="1" spans="1:9">
      <c r="A555" s="6">
        <v>553</v>
      </c>
      <c r="B555" s="7" t="s">
        <v>11</v>
      </c>
      <c r="C555" s="8" t="str">
        <f>"王梅芳"</f>
        <v>王梅芳</v>
      </c>
      <c r="D555" s="8" t="str">
        <f t="shared" si="223"/>
        <v>女</v>
      </c>
      <c r="E555" s="7" t="str">
        <f>"460027199605174449"</f>
        <v>460027199605174449</v>
      </c>
      <c r="F555" s="7" t="str">
        <f t="shared" si="233"/>
        <v>琼台师范学院</v>
      </c>
      <c r="G555" s="7" t="str">
        <f t="shared" si="234"/>
        <v>学前教育</v>
      </c>
      <c r="H555" s="7" t="str">
        <f t="shared" si="232"/>
        <v>专科</v>
      </c>
      <c r="I555" s="7" t="str">
        <f t="shared" si="219"/>
        <v>幼儿园教师资格</v>
      </c>
    </row>
    <row r="556" customHeight="1" spans="1:9">
      <c r="A556" s="6">
        <v>554</v>
      </c>
      <c r="B556" s="7" t="s">
        <v>12</v>
      </c>
      <c r="C556" s="8" t="str">
        <f>"李源满"</f>
        <v>李源满</v>
      </c>
      <c r="D556" s="8" t="str">
        <f t="shared" si="223"/>
        <v>女</v>
      </c>
      <c r="E556" s="7" t="str">
        <f>"412822199511292465"</f>
        <v>412822199511292465</v>
      </c>
      <c r="F556" s="7" t="str">
        <f>"海南师范大学"</f>
        <v>海南师范大学</v>
      </c>
      <c r="G556" s="7" t="str">
        <f t="shared" si="234"/>
        <v>学前教育</v>
      </c>
      <c r="H556" s="7" t="str">
        <f t="shared" si="232"/>
        <v>专科</v>
      </c>
      <c r="I556" s="7" t="str">
        <f t="shared" si="219"/>
        <v>幼儿园教师资格</v>
      </c>
    </row>
    <row r="557" customHeight="1" spans="1:9">
      <c r="A557" s="6">
        <v>555</v>
      </c>
      <c r="B557" s="7" t="s">
        <v>11</v>
      </c>
      <c r="C557" s="8" t="str">
        <f>"林利"</f>
        <v>林利</v>
      </c>
      <c r="D557" s="8" t="str">
        <f t="shared" si="223"/>
        <v>女</v>
      </c>
      <c r="E557" s="7" t="str">
        <f>"460006199402284945"</f>
        <v>460006199402284945</v>
      </c>
      <c r="F557" s="7" t="str">
        <f>"海南省琼台师范学院"</f>
        <v>海南省琼台师范学院</v>
      </c>
      <c r="G557" s="7" t="str">
        <f t="shared" si="234"/>
        <v>学前教育</v>
      </c>
      <c r="H557" s="7" t="str">
        <f t="shared" si="232"/>
        <v>专科</v>
      </c>
      <c r="I557" s="7" t="str">
        <f t="shared" si="219"/>
        <v>幼儿园教师资格</v>
      </c>
    </row>
    <row r="558" customHeight="1" spans="1:9">
      <c r="A558" s="6">
        <v>556</v>
      </c>
      <c r="B558" s="7" t="s">
        <v>10</v>
      </c>
      <c r="C558" s="8" t="str">
        <f>"邹灵灵"</f>
        <v>邹灵灵</v>
      </c>
      <c r="D558" s="8" t="str">
        <f>"男"</f>
        <v>男</v>
      </c>
      <c r="E558" s="7" t="str">
        <f>"431121199410157318"</f>
        <v>431121199410157318</v>
      </c>
      <c r="F558" s="7" t="str">
        <f>"海南热带海洋学院"</f>
        <v>海南热带海洋学院</v>
      </c>
      <c r="G558" s="7" t="str">
        <f t="shared" si="234"/>
        <v>学前教育</v>
      </c>
      <c r="H558" s="7" t="str">
        <f>"本科"</f>
        <v>本科</v>
      </c>
      <c r="I558" s="7" t="str">
        <f t="shared" si="219"/>
        <v>幼儿园教师资格</v>
      </c>
    </row>
    <row r="559" customHeight="1" spans="1:9">
      <c r="A559" s="6">
        <v>557</v>
      </c>
      <c r="B559" s="7" t="s">
        <v>12</v>
      </c>
      <c r="C559" s="8" t="str">
        <f>"杨柳"</f>
        <v>杨柳</v>
      </c>
      <c r="D559" s="8" t="str">
        <f t="shared" ref="D559:D590" si="235">"女"</f>
        <v>女</v>
      </c>
      <c r="E559" s="7" t="str">
        <f>"460006199605157524"</f>
        <v>460006199605157524</v>
      </c>
      <c r="F559" s="7" t="str">
        <f t="shared" ref="F559:F566" si="236">"琼台师范学院"</f>
        <v>琼台师范学院</v>
      </c>
      <c r="G559" s="7" t="str">
        <f t="shared" si="234"/>
        <v>学前教育</v>
      </c>
      <c r="H559" s="7" t="str">
        <f t="shared" ref="H559:H563" si="237">"专科"</f>
        <v>专科</v>
      </c>
      <c r="I559" s="7" t="str">
        <f t="shared" si="219"/>
        <v>幼儿园教师资格</v>
      </c>
    </row>
    <row r="560" customHeight="1" spans="1:9">
      <c r="A560" s="6">
        <v>558</v>
      </c>
      <c r="B560" s="7" t="s">
        <v>11</v>
      </c>
      <c r="C560" s="8" t="str">
        <f>"王崇莉"</f>
        <v>王崇莉</v>
      </c>
      <c r="D560" s="8" t="str">
        <f t="shared" si="235"/>
        <v>女</v>
      </c>
      <c r="E560" s="7" t="str">
        <f>"460027199601070044"</f>
        <v>460027199601070044</v>
      </c>
      <c r="F560" s="7" t="str">
        <f t="shared" si="236"/>
        <v>琼台师范学院</v>
      </c>
      <c r="G560" s="7" t="str">
        <f t="shared" si="234"/>
        <v>学前教育</v>
      </c>
      <c r="H560" s="7" t="str">
        <f t="shared" ref="H560:H564" si="238">"专科(高职)"</f>
        <v>专科(高职)</v>
      </c>
      <c r="I560" s="7" t="str">
        <f t="shared" si="219"/>
        <v>幼儿园教师资格</v>
      </c>
    </row>
    <row r="561" customHeight="1" spans="1:9">
      <c r="A561" s="6">
        <v>559</v>
      </c>
      <c r="B561" s="7" t="s">
        <v>10</v>
      </c>
      <c r="C561" s="8" t="str">
        <f>"吴恋"</f>
        <v>吴恋</v>
      </c>
      <c r="D561" s="8" t="str">
        <f t="shared" si="235"/>
        <v>女</v>
      </c>
      <c r="E561" s="7" t="str">
        <f>"460026199908200820"</f>
        <v>460026199908200820</v>
      </c>
      <c r="F561" s="7" t="str">
        <f t="shared" si="236"/>
        <v>琼台师范学院</v>
      </c>
      <c r="G561" s="7" t="str">
        <f t="shared" si="234"/>
        <v>学前教育</v>
      </c>
      <c r="H561" s="7" t="str">
        <f t="shared" si="237"/>
        <v>专科</v>
      </c>
      <c r="I561" s="7" t="str">
        <f t="shared" si="219"/>
        <v>幼儿园教师资格</v>
      </c>
    </row>
    <row r="562" customHeight="1" spans="1:9">
      <c r="A562" s="6">
        <v>560</v>
      </c>
      <c r="B562" s="7" t="s">
        <v>10</v>
      </c>
      <c r="C562" s="8" t="str">
        <f>"符小玲"</f>
        <v>符小玲</v>
      </c>
      <c r="D562" s="8" t="str">
        <f t="shared" si="235"/>
        <v>女</v>
      </c>
      <c r="E562" s="7" t="str">
        <f>"460027199506211048"</f>
        <v>460027199506211048</v>
      </c>
      <c r="F562" s="7" t="str">
        <f t="shared" si="236"/>
        <v>琼台师范学院</v>
      </c>
      <c r="G562" s="7" t="str">
        <f t="shared" si="234"/>
        <v>学前教育</v>
      </c>
      <c r="H562" s="7" t="str">
        <f t="shared" si="238"/>
        <v>专科(高职)</v>
      </c>
      <c r="I562" s="7" t="str">
        <f t="shared" si="219"/>
        <v>幼儿园教师资格</v>
      </c>
    </row>
    <row r="563" customHeight="1" spans="1:9">
      <c r="A563" s="6">
        <v>561</v>
      </c>
      <c r="B563" s="7" t="s">
        <v>11</v>
      </c>
      <c r="C563" s="8" t="str">
        <f>"符永花"</f>
        <v>符永花</v>
      </c>
      <c r="D563" s="8" t="str">
        <f t="shared" si="235"/>
        <v>女</v>
      </c>
      <c r="E563" s="7" t="str">
        <f>"460007199512037220"</f>
        <v>460007199512037220</v>
      </c>
      <c r="F563" s="7" t="str">
        <f t="shared" si="236"/>
        <v>琼台师范学院</v>
      </c>
      <c r="G563" s="7" t="str">
        <f t="shared" si="234"/>
        <v>学前教育</v>
      </c>
      <c r="H563" s="7" t="str">
        <f t="shared" si="237"/>
        <v>专科</v>
      </c>
      <c r="I563" s="7" t="str">
        <f t="shared" si="219"/>
        <v>幼儿园教师资格</v>
      </c>
    </row>
    <row r="564" customHeight="1" spans="1:9">
      <c r="A564" s="6">
        <v>562</v>
      </c>
      <c r="B564" s="7" t="s">
        <v>11</v>
      </c>
      <c r="C564" s="8" t="str">
        <f>"曾榆钧"</f>
        <v>曾榆钧</v>
      </c>
      <c r="D564" s="8" t="str">
        <f t="shared" si="235"/>
        <v>女</v>
      </c>
      <c r="E564" s="7" t="str">
        <f>"460028199409220045"</f>
        <v>460028199409220045</v>
      </c>
      <c r="F564" s="7" t="str">
        <f t="shared" si="236"/>
        <v>琼台师范学院</v>
      </c>
      <c r="G564" s="7" t="str">
        <f t="shared" si="234"/>
        <v>学前教育</v>
      </c>
      <c r="H564" s="7" t="str">
        <f t="shared" si="238"/>
        <v>专科(高职)</v>
      </c>
      <c r="I564" s="7" t="str">
        <f t="shared" si="219"/>
        <v>幼儿园教师资格</v>
      </c>
    </row>
    <row r="565" customHeight="1" spans="1:9">
      <c r="A565" s="6">
        <v>563</v>
      </c>
      <c r="B565" s="7" t="s">
        <v>12</v>
      </c>
      <c r="C565" s="8" t="str">
        <f>"曾维瑶"</f>
        <v>曾维瑶</v>
      </c>
      <c r="D565" s="8" t="str">
        <f t="shared" si="235"/>
        <v>女</v>
      </c>
      <c r="E565" s="7" t="str">
        <f>"460030199608101227"</f>
        <v>460030199608101227</v>
      </c>
      <c r="F565" s="7" t="str">
        <f t="shared" si="236"/>
        <v>琼台师范学院</v>
      </c>
      <c r="G565" s="7" t="str">
        <f t="shared" si="234"/>
        <v>学前教育</v>
      </c>
      <c r="H565" s="7" t="str">
        <f t="shared" ref="H565:H573" si="239">"专科"</f>
        <v>专科</v>
      </c>
      <c r="I565" s="7" t="str">
        <f t="shared" si="219"/>
        <v>幼儿园教师资格</v>
      </c>
    </row>
    <row r="566" customHeight="1" spans="1:9">
      <c r="A566" s="6">
        <v>564</v>
      </c>
      <c r="B566" s="7" t="s">
        <v>10</v>
      </c>
      <c r="C566" s="8" t="str">
        <f>"王斐"</f>
        <v>王斐</v>
      </c>
      <c r="D566" s="8" t="str">
        <f t="shared" si="235"/>
        <v>女</v>
      </c>
      <c r="E566" s="7" t="str">
        <f>"460028199810202425"</f>
        <v>460028199810202425</v>
      </c>
      <c r="F566" s="7" t="str">
        <f t="shared" si="236"/>
        <v>琼台师范学院</v>
      </c>
      <c r="G566" s="7" t="str">
        <f t="shared" si="234"/>
        <v>学前教育</v>
      </c>
      <c r="H566" s="7" t="str">
        <f>"专科(高职)"</f>
        <v>专科(高职)</v>
      </c>
      <c r="I566" s="7" t="str">
        <f t="shared" si="219"/>
        <v>幼儿园教师资格</v>
      </c>
    </row>
    <row r="567" customHeight="1" spans="1:9">
      <c r="A567" s="6">
        <v>565</v>
      </c>
      <c r="B567" s="7" t="s">
        <v>10</v>
      </c>
      <c r="C567" s="8" t="str">
        <f>"官泳泽"</f>
        <v>官泳泽</v>
      </c>
      <c r="D567" s="8" t="str">
        <f t="shared" si="235"/>
        <v>女</v>
      </c>
      <c r="E567" s="7" t="str">
        <f>"460033199105130682"</f>
        <v>460033199105130682</v>
      </c>
      <c r="F567" s="7" t="str">
        <f>"海南热带海洋学院"</f>
        <v>海南热带海洋学院</v>
      </c>
      <c r="G567" s="7" t="str">
        <f t="shared" si="234"/>
        <v>学前教育</v>
      </c>
      <c r="H567" s="7" t="str">
        <f t="shared" si="239"/>
        <v>专科</v>
      </c>
      <c r="I567" s="7" t="str">
        <f t="shared" si="219"/>
        <v>幼儿园教师资格</v>
      </c>
    </row>
    <row r="568" customHeight="1" spans="1:9">
      <c r="A568" s="6">
        <v>566</v>
      </c>
      <c r="B568" s="7" t="s">
        <v>10</v>
      </c>
      <c r="C568" s="8" t="str">
        <f>"周佳佳"</f>
        <v>周佳佳</v>
      </c>
      <c r="D568" s="8" t="str">
        <f t="shared" si="235"/>
        <v>女</v>
      </c>
      <c r="E568" s="7" t="str">
        <f>"460002199805104923"</f>
        <v>460002199805104923</v>
      </c>
      <c r="F568" s="7" t="str">
        <f t="shared" ref="F568:F571" si="240">"琼台师范学院"</f>
        <v>琼台师范学院</v>
      </c>
      <c r="G568" s="7" t="str">
        <f t="shared" si="234"/>
        <v>学前教育</v>
      </c>
      <c r="H568" s="7" t="str">
        <f t="shared" si="239"/>
        <v>专科</v>
      </c>
      <c r="I568" s="7" t="str">
        <f t="shared" si="219"/>
        <v>幼儿园教师资格</v>
      </c>
    </row>
    <row r="569" customHeight="1" spans="1:9">
      <c r="A569" s="6">
        <v>567</v>
      </c>
      <c r="B569" s="7" t="s">
        <v>12</v>
      </c>
      <c r="C569" s="8" t="str">
        <f>"许萧萧"</f>
        <v>许萧萧</v>
      </c>
      <c r="D569" s="8" t="str">
        <f t="shared" si="235"/>
        <v>女</v>
      </c>
      <c r="E569" s="7" t="str">
        <f>"460026199601174824"</f>
        <v>460026199601174824</v>
      </c>
      <c r="F569" s="7" t="str">
        <f>"荆楚理工学院"</f>
        <v>荆楚理工学院</v>
      </c>
      <c r="G569" s="7" t="str">
        <f t="shared" si="234"/>
        <v>学前教育</v>
      </c>
      <c r="H569" s="7" t="str">
        <f t="shared" si="239"/>
        <v>专科</v>
      </c>
      <c r="I569" s="7" t="str">
        <f t="shared" si="219"/>
        <v>幼儿园教师资格</v>
      </c>
    </row>
    <row r="570" customHeight="1" spans="1:9">
      <c r="A570" s="6">
        <v>568</v>
      </c>
      <c r="B570" s="7" t="s">
        <v>12</v>
      </c>
      <c r="C570" s="8" t="str">
        <f>"林壹"</f>
        <v>林壹</v>
      </c>
      <c r="D570" s="8" t="str">
        <f t="shared" si="235"/>
        <v>女</v>
      </c>
      <c r="E570" s="7" t="str">
        <f>"460107199712133028"</f>
        <v>460107199712133028</v>
      </c>
      <c r="F570" s="7" t="str">
        <f t="shared" si="240"/>
        <v>琼台师范学院</v>
      </c>
      <c r="G570" s="7" t="str">
        <f t="shared" si="234"/>
        <v>学前教育</v>
      </c>
      <c r="H570" s="7" t="str">
        <f t="shared" si="239"/>
        <v>专科</v>
      </c>
      <c r="I570" s="7" t="str">
        <f t="shared" si="219"/>
        <v>幼儿园教师资格</v>
      </c>
    </row>
    <row r="571" customHeight="1" spans="1:9">
      <c r="A571" s="6">
        <v>569</v>
      </c>
      <c r="B571" s="7" t="s">
        <v>11</v>
      </c>
      <c r="C571" s="8" t="str">
        <f>"杨翠萍"</f>
        <v>杨翠萍</v>
      </c>
      <c r="D571" s="8" t="str">
        <f t="shared" si="235"/>
        <v>女</v>
      </c>
      <c r="E571" s="7" t="str">
        <f>"460006199603193724"</f>
        <v>460006199603193724</v>
      </c>
      <c r="F571" s="7" t="str">
        <f t="shared" si="240"/>
        <v>琼台师范学院</v>
      </c>
      <c r="G571" s="7" t="str">
        <f t="shared" si="234"/>
        <v>学前教育</v>
      </c>
      <c r="H571" s="7" t="str">
        <f t="shared" si="239"/>
        <v>专科</v>
      </c>
      <c r="I571" s="7" t="str">
        <f t="shared" si="219"/>
        <v>幼儿园教师资格</v>
      </c>
    </row>
    <row r="572" customHeight="1" spans="1:9">
      <c r="A572" s="6">
        <v>570</v>
      </c>
      <c r="B572" s="7" t="s">
        <v>12</v>
      </c>
      <c r="C572" s="8" t="str">
        <f>"朱晓慧"</f>
        <v>朱晓慧</v>
      </c>
      <c r="D572" s="8" t="str">
        <f t="shared" si="235"/>
        <v>女</v>
      </c>
      <c r="E572" s="7" t="str">
        <f>"410225199602023425"</f>
        <v>410225199602023425</v>
      </c>
      <c r="F572" s="7" t="str">
        <f>"荆楚理工学院"</f>
        <v>荆楚理工学院</v>
      </c>
      <c r="G572" s="7" t="str">
        <f t="shared" si="234"/>
        <v>学前教育</v>
      </c>
      <c r="H572" s="7" t="str">
        <f t="shared" si="239"/>
        <v>专科</v>
      </c>
      <c r="I572" s="7" t="str">
        <f t="shared" si="219"/>
        <v>幼儿园教师资格</v>
      </c>
    </row>
    <row r="573" customHeight="1" spans="1:9">
      <c r="A573" s="6">
        <v>571</v>
      </c>
      <c r="B573" s="7" t="s">
        <v>11</v>
      </c>
      <c r="C573" s="8" t="str">
        <f>"蔡孟丽"</f>
        <v>蔡孟丽</v>
      </c>
      <c r="D573" s="8" t="str">
        <f t="shared" si="235"/>
        <v>女</v>
      </c>
      <c r="E573" s="7" t="str">
        <f>"460006199702138720"</f>
        <v>460006199702138720</v>
      </c>
      <c r="F573" s="7" t="str">
        <f t="shared" ref="F573:F580" si="241">"琼台师范学院"</f>
        <v>琼台师范学院</v>
      </c>
      <c r="G573" s="7" t="str">
        <f t="shared" si="234"/>
        <v>学前教育</v>
      </c>
      <c r="H573" s="7" t="str">
        <f t="shared" si="239"/>
        <v>专科</v>
      </c>
      <c r="I573" s="7" t="str">
        <f t="shared" si="219"/>
        <v>幼儿园教师资格</v>
      </c>
    </row>
    <row r="574" customHeight="1" spans="1:9">
      <c r="A574" s="6">
        <v>572</v>
      </c>
      <c r="B574" s="7" t="s">
        <v>10</v>
      </c>
      <c r="C574" s="8" t="str">
        <f>"张江娜"</f>
        <v>张江娜</v>
      </c>
      <c r="D574" s="8" t="str">
        <f t="shared" si="235"/>
        <v>女</v>
      </c>
      <c r="E574" s="7" t="str">
        <f>"46003319970721324X"</f>
        <v>46003319970721324X</v>
      </c>
      <c r="F574" s="7" t="str">
        <f>"兴义民族师范学院"</f>
        <v>兴义民族师范学院</v>
      </c>
      <c r="G574" s="7" t="str">
        <f t="shared" si="234"/>
        <v>学前教育</v>
      </c>
      <c r="H574" s="7" t="str">
        <f>"本科"</f>
        <v>本科</v>
      </c>
      <c r="I574" s="7" t="str">
        <f t="shared" si="219"/>
        <v>幼儿园教师资格</v>
      </c>
    </row>
    <row r="575" customHeight="1" spans="1:9">
      <c r="A575" s="6">
        <v>573</v>
      </c>
      <c r="B575" s="7" t="s">
        <v>10</v>
      </c>
      <c r="C575" s="8" t="str">
        <f>"黄露"</f>
        <v>黄露</v>
      </c>
      <c r="D575" s="8" t="str">
        <f t="shared" si="235"/>
        <v>女</v>
      </c>
      <c r="E575" s="7" t="str">
        <f>"460004199810065220"</f>
        <v>460004199810065220</v>
      </c>
      <c r="F575" s="7" t="str">
        <f t="shared" si="241"/>
        <v>琼台师范学院</v>
      </c>
      <c r="G575" s="7" t="str">
        <f t="shared" si="234"/>
        <v>学前教育</v>
      </c>
      <c r="H575" s="7" t="str">
        <f>"专科(高职)"</f>
        <v>专科(高职)</v>
      </c>
      <c r="I575" s="7" t="str">
        <f t="shared" si="219"/>
        <v>幼儿园教师资格</v>
      </c>
    </row>
    <row r="576" customHeight="1" spans="1:9">
      <c r="A576" s="6">
        <v>574</v>
      </c>
      <c r="B576" s="7" t="s">
        <v>10</v>
      </c>
      <c r="C576" s="8" t="str">
        <f>"林之慧"</f>
        <v>林之慧</v>
      </c>
      <c r="D576" s="8" t="str">
        <f t="shared" si="235"/>
        <v>女</v>
      </c>
      <c r="E576" s="7" t="str">
        <f>"460025199010124247"</f>
        <v>460025199010124247</v>
      </c>
      <c r="F576" s="7" t="str">
        <f>"琼台师范高等专科学校"</f>
        <v>琼台师范高等专科学校</v>
      </c>
      <c r="G576" s="7" t="str">
        <f t="shared" si="234"/>
        <v>学前教育</v>
      </c>
      <c r="H576" s="7" t="str">
        <f t="shared" ref="H576:H583" si="242">"专科"</f>
        <v>专科</v>
      </c>
      <c r="I576" s="7" t="str">
        <f t="shared" si="219"/>
        <v>幼儿园教师资格</v>
      </c>
    </row>
    <row r="577" customHeight="1" spans="1:9">
      <c r="A577" s="6">
        <v>575</v>
      </c>
      <c r="B577" s="7" t="s">
        <v>10</v>
      </c>
      <c r="C577" s="8" t="str">
        <f>"陈仕燕"</f>
        <v>陈仕燕</v>
      </c>
      <c r="D577" s="8" t="str">
        <f t="shared" si="235"/>
        <v>女</v>
      </c>
      <c r="E577" s="7" t="str">
        <f>"460007199203160049"</f>
        <v>460007199203160049</v>
      </c>
      <c r="F577" s="7" t="str">
        <f>"琼台师范高等专科学校"</f>
        <v>琼台师范高等专科学校</v>
      </c>
      <c r="G577" s="7" t="str">
        <f t="shared" si="234"/>
        <v>学前教育</v>
      </c>
      <c r="H577" s="7" t="str">
        <f t="shared" si="242"/>
        <v>专科</v>
      </c>
      <c r="I577" s="7" t="str">
        <f t="shared" si="219"/>
        <v>幼儿园教师资格</v>
      </c>
    </row>
    <row r="578" customHeight="1" spans="1:9">
      <c r="A578" s="6">
        <v>576</v>
      </c>
      <c r="B578" s="7" t="s">
        <v>12</v>
      </c>
      <c r="C578" s="8" t="str">
        <f>"吉丽菊"</f>
        <v>吉丽菊</v>
      </c>
      <c r="D578" s="8" t="str">
        <f t="shared" si="235"/>
        <v>女</v>
      </c>
      <c r="E578" s="7" t="str">
        <f>"460007199701086822"</f>
        <v>460007199701086822</v>
      </c>
      <c r="F578" s="7" t="str">
        <f t="shared" si="241"/>
        <v>琼台师范学院</v>
      </c>
      <c r="G578" s="7" t="str">
        <f t="shared" si="234"/>
        <v>学前教育</v>
      </c>
      <c r="H578" s="7" t="str">
        <f t="shared" si="242"/>
        <v>专科</v>
      </c>
      <c r="I578" s="7" t="str">
        <f t="shared" ref="I578:I641" si="243">"幼儿园教师资格"</f>
        <v>幼儿园教师资格</v>
      </c>
    </row>
    <row r="579" customHeight="1" spans="1:9">
      <c r="A579" s="6">
        <v>577</v>
      </c>
      <c r="B579" s="7" t="s">
        <v>11</v>
      </c>
      <c r="C579" s="8" t="str">
        <f>"王萍"</f>
        <v>王萍</v>
      </c>
      <c r="D579" s="8" t="str">
        <f t="shared" si="235"/>
        <v>女</v>
      </c>
      <c r="E579" s="7" t="str">
        <f>"460106199604063425"</f>
        <v>460106199604063425</v>
      </c>
      <c r="F579" s="7" t="str">
        <f t="shared" si="241"/>
        <v>琼台师范学院</v>
      </c>
      <c r="G579" s="7" t="str">
        <f t="shared" si="234"/>
        <v>学前教育</v>
      </c>
      <c r="H579" s="7" t="str">
        <f t="shared" si="242"/>
        <v>专科</v>
      </c>
      <c r="I579" s="7" t="str">
        <f t="shared" si="243"/>
        <v>幼儿园教师资格</v>
      </c>
    </row>
    <row r="580" customHeight="1" spans="1:9">
      <c r="A580" s="6">
        <v>578</v>
      </c>
      <c r="B580" s="7" t="s">
        <v>11</v>
      </c>
      <c r="C580" s="8" t="str">
        <f>"陈五英"</f>
        <v>陈五英</v>
      </c>
      <c r="D580" s="8" t="str">
        <f t="shared" si="235"/>
        <v>女</v>
      </c>
      <c r="E580" s="7" t="str">
        <f>"460033199204303227"</f>
        <v>460033199204303227</v>
      </c>
      <c r="F580" s="7" t="str">
        <f t="shared" si="241"/>
        <v>琼台师范学院</v>
      </c>
      <c r="G580" s="7" t="str">
        <f t="shared" si="234"/>
        <v>学前教育</v>
      </c>
      <c r="H580" s="7" t="str">
        <f t="shared" si="242"/>
        <v>专科</v>
      </c>
      <c r="I580" s="7" t="str">
        <f t="shared" si="243"/>
        <v>幼儿园教师资格</v>
      </c>
    </row>
    <row r="581" customHeight="1" spans="1:9">
      <c r="A581" s="6">
        <v>579</v>
      </c>
      <c r="B581" s="7" t="s">
        <v>11</v>
      </c>
      <c r="C581" s="8" t="str">
        <f>"吴文妃"</f>
        <v>吴文妃</v>
      </c>
      <c r="D581" s="8" t="str">
        <f t="shared" si="235"/>
        <v>女</v>
      </c>
      <c r="E581" s="7" t="str">
        <f>"460003199506213026"</f>
        <v>460003199506213026</v>
      </c>
      <c r="F581" s="7" t="str">
        <f>"海口市琼台师范学院"</f>
        <v>海口市琼台师范学院</v>
      </c>
      <c r="G581" s="7" t="str">
        <f t="shared" si="234"/>
        <v>学前教育</v>
      </c>
      <c r="H581" s="7" t="str">
        <f t="shared" si="242"/>
        <v>专科</v>
      </c>
      <c r="I581" s="7" t="str">
        <f t="shared" si="243"/>
        <v>幼儿园教师资格</v>
      </c>
    </row>
    <row r="582" customHeight="1" spans="1:9">
      <c r="A582" s="6">
        <v>580</v>
      </c>
      <c r="B582" s="7" t="s">
        <v>12</v>
      </c>
      <c r="C582" s="8" t="str">
        <f>"陈凤妹"</f>
        <v>陈凤妹</v>
      </c>
      <c r="D582" s="8" t="str">
        <f t="shared" si="235"/>
        <v>女</v>
      </c>
      <c r="E582" s="7" t="str">
        <f>"460003199509156645"</f>
        <v>460003199509156645</v>
      </c>
      <c r="F582" s="7" t="str">
        <f>"海南热带海洋学院"</f>
        <v>海南热带海洋学院</v>
      </c>
      <c r="G582" s="7" t="str">
        <f t="shared" si="234"/>
        <v>学前教育</v>
      </c>
      <c r="H582" s="7" t="str">
        <f t="shared" si="242"/>
        <v>专科</v>
      </c>
      <c r="I582" s="7" t="str">
        <f t="shared" si="243"/>
        <v>幼儿园教师资格</v>
      </c>
    </row>
    <row r="583" customHeight="1" spans="1:9">
      <c r="A583" s="6">
        <v>581</v>
      </c>
      <c r="B583" s="7" t="s">
        <v>11</v>
      </c>
      <c r="C583" s="8" t="str">
        <f>"邢妹"</f>
        <v>邢妹</v>
      </c>
      <c r="D583" s="8" t="str">
        <f t="shared" si="235"/>
        <v>女</v>
      </c>
      <c r="E583" s="7" t="str">
        <f>"460033199505026884"</f>
        <v>460033199505026884</v>
      </c>
      <c r="F583" s="7" t="str">
        <f>"琼台师范学院"</f>
        <v>琼台师范学院</v>
      </c>
      <c r="G583" s="7" t="str">
        <f t="shared" si="234"/>
        <v>学前教育</v>
      </c>
      <c r="H583" s="7" t="str">
        <f t="shared" si="242"/>
        <v>专科</v>
      </c>
      <c r="I583" s="7" t="str">
        <f t="shared" si="243"/>
        <v>幼儿园教师资格</v>
      </c>
    </row>
    <row r="584" customHeight="1" spans="1:9">
      <c r="A584" s="6">
        <v>582</v>
      </c>
      <c r="B584" s="7" t="s">
        <v>10</v>
      </c>
      <c r="C584" s="8" t="str">
        <f>"钟美玉"</f>
        <v>钟美玉</v>
      </c>
      <c r="D584" s="8" t="str">
        <f t="shared" si="235"/>
        <v>女</v>
      </c>
      <c r="E584" s="7" t="str">
        <f>"46000319940524582X"</f>
        <v>46000319940524582X</v>
      </c>
      <c r="F584" s="7" t="str">
        <f>"广东第二师范学院"</f>
        <v>广东第二师范学院</v>
      </c>
      <c r="G584" s="7" t="str">
        <f t="shared" si="234"/>
        <v>学前教育</v>
      </c>
      <c r="H584" s="7" t="str">
        <f>"本科"</f>
        <v>本科</v>
      </c>
      <c r="I584" s="7" t="str">
        <f t="shared" si="243"/>
        <v>幼儿园教师资格</v>
      </c>
    </row>
    <row r="585" customHeight="1" spans="1:9">
      <c r="A585" s="6">
        <v>583</v>
      </c>
      <c r="B585" s="7" t="s">
        <v>11</v>
      </c>
      <c r="C585" s="8" t="str">
        <f>"吴萍"</f>
        <v>吴萍</v>
      </c>
      <c r="D585" s="8" t="str">
        <f t="shared" si="235"/>
        <v>女</v>
      </c>
      <c r="E585" s="7" t="str">
        <f>"460104199308050926"</f>
        <v>460104199308050926</v>
      </c>
      <c r="F585" s="7" t="str">
        <f>"琼州学院"</f>
        <v>琼州学院</v>
      </c>
      <c r="G585" s="7" t="str">
        <f t="shared" si="234"/>
        <v>学前教育</v>
      </c>
      <c r="H585" s="7" t="str">
        <f t="shared" ref="H585:H589" si="244">"专科"</f>
        <v>专科</v>
      </c>
      <c r="I585" s="7" t="str">
        <f t="shared" si="243"/>
        <v>幼儿园教师资格</v>
      </c>
    </row>
    <row r="586" customHeight="1" spans="1:9">
      <c r="A586" s="6">
        <v>584</v>
      </c>
      <c r="B586" s="7" t="s">
        <v>12</v>
      </c>
      <c r="C586" s="8" t="str">
        <f>"曾慧"</f>
        <v>曾慧</v>
      </c>
      <c r="D586" s="8" t="str">
        <f t="shared" si="235"/>
        <v>女</v>
      </c>
      <c r="E586" s="7" t="str">
        <f>"460006199609010941"</f>
        <v>460006199609010941</v>
      </c>
      <c r="F586" s="7" t="str">
        <f>"琼台师范学院"</f>
        <v>琼台师范学院</v>
      </c>
      <c r="G586" s="7" t="str">
        <f t="shared" si="234"/>
        <v>学前教育</v>
      </c>
      <c r="H586" s="7" t="str">
        <f>"专科(高职)"</f>
        <v>专科(高职)</v>
      </c>
      <c r="I586" s="7" t="str">
        <f t="shared" si="243"/>
        <v>幼儿园教师资格</v>
      </c>
    </row>
    <row r="587" customHeight="1" spans="1:9">
      <c r="A587" s="6">
        <v>585</v>
      </c>
      <c r="B587" s="7" t="s">
        <v>11</v>
      </c>
      <c r="C587" s="8" t="str">
        <f>"张林霞"</f>
        <v>张林霞</v>
      </c>
      <c r="D587" s="8" t="str">
        <f t="shared" si="235"/>
        <v>女</v>
      </c>
      <c r="E587" s="7" t="str">
        <f>"460034199305180066"</f>
        <v>460034199305180066</v>
      </c>
      <c r="F587" s="7" t="str">
        <f>"琼台师范高等专科学校"</f>
        <v>琼台师范高等专科学校</v>
      </c>
      <c r="G587" s="7" t="str">
        <f t="shared" ref="G587:G589" si="245">"学前教育"</f>
        <v>学前教育</v>
      </c>
      <c r="H587" s="7" t="str">
        <f t="shared" si="244"/>
        <v>专科</v>
      </c>
      <c r="I587" s="7" t="str">
        <f t="shared" si="243"/>
        <v>幼儿园教师资格</v>
      </c>
    </row>
    <row r="588" customHeight="1" spans="1:9">
      <c r="A588" s="6">
        <v>586</v>
      </c>
      <c r="B588" s="7" t="s">
        <v>12</v>
      </c>
      <c r="C588" s="8" t="str">
        <f>"李秋妍"</f>
        <v>李秋妍</v>
      </c>
      <c r="D588" s="8" t="str">
        <f t="shared" si="235"/>
        <v>女</v>
      </c>
      <c r="E588" s="7" t="str">
        <f>"460003199208233045"</f>
        <v>460003199208233045</v>
      </c>
      <c r="F588" s="7" t="str">
        <f>"江西省景德镇学院"</f>
        <v>江西省景德镇学院</v>
      </c>
      <c r="G588" s="7" t="str">
        <f t="shared" si="245"/>
        <v>学前教育</v>
      </c>
      <c r="H588" s="7" t="str">
        <f t="shared" si="244"/>
        <v>专科</v>
      </c>
      <c r="I588" s="7" t="str">
        <f t="shared" si="243"/>
        <v>幼儿园教师资格</v>
      </c>
    </row>
    <row r="589" customHeight="1" spans="1:9">
      <c r="A589" s="6">
        <v>587</v>
      </c>
      <c r="B589" s="7" t="s">
        <v>12</v>
      </c>
      <c r="C589" s="8" t="str">
        <f>"邢丽燕"</f>
        <v>邢丽燕</v>
      </c>
      <c r="D589" s="8" t="str">
        <f t="shared" si="235"/>
        <v>女</v>
      </c>
      <c r="E589" s="7" t="str">
        <f>"460033199608103264"</f>
        <v>460033199608103264</v>
      </c>
      <c r="F589" s="7" t="str">
        <f>"海南热带海洋学院"</f>
        <v>海南热带海洋学院</v>
      </c>
      <c r="G589" s="7" t="str">
        <f t="shared" si="245"/>
        <v>学前教育</v>
      </c>
      <c r="H589" s="7" t="str">
        <f t="shared" si="244"/>
        <v>专科</v>
      </c>
      <c r="I589" s="7" t="str">
        <f t="shared" si="243"/>
        <v>幼儿园教师资格</v>
      </c>
    </row>
    <row r="590" customHeight="1" spans="1:9">
      <c r="A590" s="6">
        <v>588</v>
      </c>
      <c r="B590" s="7" t="s">
        <v>10</v>
      </c>
      <c r="C590" s="8" t="str">
        <f>"许永花"</f>
        <v>许永花</v>
      </c>
      <c r="D590" s="8" t="str">
        <f t="shared" si="235"/>
        <v>女</v>
      </c>
      <c r="E590" s="7" t="str">
        <f>"460003199303053325"</f>
        <v>460003199303053325</v>
      </c>
      <c r="F590" s="7" t="str">
        <f>"江西科技学院"</f>
        <v>江西科技学院</v>
      </c>
      <c r="G590" s="7" t="str">
        <f>"学前教育专业"</f>
        <v>学前教育专业</v>
      </c>
      <c r="H590" s="7" t="str">
        <f>"本科"</f>
        <v>本科</v>
      </c>
      <c r="I590" s="7" t="str">
        <f t="shared" si="243"/>
        <v>幼儿园教师资格</v>
      </c>
    </row>
    <row r="591" customHeight="1" spans="1:9">
      <c r="A591" s="6">
        <v>589</v>
      </c>
      <c r="B591" s="7" t="s">
        <v>10</v>
      </c>
      <c r="C591" s="8" t="str">
        <f>"黄明泽"</f>
        <v>黄明泽</v>
      </c>
      <c r="D591" s="8" t="str">
        <f>"男"</f>
        <v>男</v>
      </c>
      <c r="E591" s="7" t="str">
        <f>"460006199612276513"</f>
        <v>460006199612276513</v>
      </c>
      <c r="F591" s="7" t="str">
        <f>"琼台师范学院"</f>
        <v>琼台师范学院</v>
      </c>
      <c r="G591" s="7" t="str">
        <f>"学前教育（英语）方向"</f>
        <v>学前教育（英语）方向</v>
      </c>
      <c r="H591" s="7" t="str">
        <f t="shared" ref="H591:H594" si="246">"专科"</f>
        <v>专科</v>
      </c>
      <c r="I591" s="7" t="str">
        <f t="shared" si="243"/>
        <v>幼儿园教师资格</v>
      </c>
    </row>
    <row r="592" customHeight="1" spans="1:9">
      <c r="A592" s="6">
        <v>590</v>
      </c>
      <c r="B592" s="7" t="s">
        <v>11</v>
      </c>
      <c r="C592" s="8" t="str">
        <f>"周梨梨"</f>
        <v>周梨梨</v>
      </c>
      <c r="D592" s="8" t="str">
        <f t="shared" ref="D592:D614" si="247">"女"</f>
        <v>女</v>
      </c>
      <c r="E592" s="7" t="str">
        <f>"460033199210214845"</f>
        <v>460033199210214845</v>
      </c>
      <c r="F592" s="7" t="str">
        <f>"海南省琼台师范高等专科学校"</f>
        <v>海南省琼台师范高等专科学校</v>
      </c>
      <c r="G592" s="7" t="str">
        <f t="shared" ref="G592:G620" si="248">"学前教育"</f>
        <v>学前教育</v>
      </c>
      <c r="H592" s="7" t="str">
        <f t="shared" si="246"/>
        <v>专科</v>
      </c>
      <c r="I592" s="7" t="str">
        <f t="shared" si="243"/>
        <v>幼儿园教师资格</v>
      </c>
    </row>
    <row r="593" customHeight="1" spans="1:9">
      <c r="A593" s="6">
        <v>591</v>
      </c>
      <c r="B593" s="7" t="s">
        <v>11</v>
      </c>
      <c r="C593" s="8" t="str">
        <f>"刘金"</f>
        <v>刘金</v>
      </c>
      <c r="D593" s="8" t="str">
        <f t="shared" si="247"/>
        <v>女</v>
      </c>
      <c r="E593" s="7" t="str">
        <f>"460031199305204444"</f>
        <v>460031199305204444</v>
      </c>
      <c r="F593" s="7" t="str">
        <f>"琼台师范高等专科学校"</f>
        <v>琼台师范高等专科学校</v>
      </c>
      <c r="G593" s="7" t="str">
        <f>"学前教育（英语方向）"</f>
        <v>学前教育（英语方向）</v>
      </c>
      <c r="H593" s="7" t="str">
        <f t="shared" si="246"/>
        <v>专科</v>
      </c>
      <c r="I593" s="7" t="str">
        <f t="shared" si="243"/>
        <v>幼儿园教师资格</v>
      </c>
    </row>
    <row r="594" customHeight="1" spans="1:9">
      <c r="A594" s="6">
        <v>592</v>
      </c>
      <c r="B594" s="7" t="s">
        <v>10</v>
      </c>
      <c r="C594" s="8" t="str">
        <f>"王若兰"</f>
        <v>王若兰</v>
      </c>
      <c r="D594" s="8" t="str">
        <f t="shared" si="247"/>
        <v>女</v>
      </c>
      <c r="E594" s="7" t="str">
        <f>"460028199606012026"</f>
        <v>460028199606012026</v>
      </c>
      <c r="F594" s="7" t="str">
        <f>"琼台师范学院"</f>
        <v>琼台师范学院</v>
      </c>
      <c r="G594" s="7" t="str">
        <f t="shared" si="248"/>
        <v>学前教育</v>
      </c>
      <c r="H594" s="7" t="str">
        <f t="shared" si="246"/>
        <v>专科</v>
      </c>
      <c r="I594" s="7" t="str">
        <f t="shared" si="243"/>
        <v>幼儿园教师资格</v>
      </c>
    </row>
    <row r="595" customHeight="1" spans="1:9">
      <c r="A595" s="6">
        <v>593</v>
      </c>
      <c r="B595" s="7" t="s">
        <v>10</v>
      </c>
      <c r="C595" s="8" t="str">
        <f>"张娜"</f>
        <v>张娜</v>
      </c>
      <c r="D595" s="8" t="str">
        <f t="shared" si="247"/>
        <v>女</v>
      </c>
      <c r="E595" s="7" t="str">
        <f>"460026199512180325"</f>
        <v>460026199512180325</v>
      </c>
      <c r="F595" s="7" t="str">
        <f>"曲靖师范学院"</f>
        <v>曲靖师范学院</v>
      </c>
      <c r="G595" s="7" t="str">
        <f t="shared" si="248"/>
        <v>学前教育</v>
      </c>
      <c r="H595" s="7" t="str">
        <f>"本科"</f>
        <v>本科</v>
      </c>
      <c r="I595" s="7" t="str">
        <f t="shared" si="243"/>
        <v>幼儿园教师资格</v>
      </c>
    </row>
    <row r="596" customHeight="1" spans="1:9">
      <c r="A596" s="6">
        <v>594</v>
      </c>
      <c r="B596" s="7" t="s">
        <v>11</v>
      </c>
      <c r="C596" s="8" t="str">
        <f>"周秋萍"</f>
        <v>周秋萍</v>
      </c>
      <c r="D596" s="8" t="str">
        <f t="shared" si="247"/>
        <v>女</v>
      </c>
      <c r="E596" s="7" t="str">
        <f>"460033199111144562"</f>
        <v>460033199111144562</v>
      </c>
      <c r="F596" s="7" t="str">
        <f>"海南省琼州学院"</f>
        <v>海南省琼州学院</v>
      </c>
      <c r="G596" s="7" t="str">
        <f t="shared" si="248"/>
        <v>学前教育</v>
      </c>
      <c r="H596" s="7" t="str">
        <f t="shared" ref="H596:H603" si="249">"专科"</f>
        <v>专科</v>
      </c>
      <c r="I596" s="7" t="str">
        <f t="shared" si="243"/>
        <v>幼儿园教师资格</v>
      </c>
    </row>
    <row r="597" customHeight="1" spans="1:9">
      <c r="A597" s="6">
        <v>595</v>
      </c>
      <c r="B597" s="7" t="s">
        <v>10</v>
      </c>
      <c r="C597" s="8" t="str">
        <f>"魏雅兰"</f>
        <v>魏雅兰</v>
      </c>
      <c r="D597" s="8" t="str">
        <f t="shared" si="247"/>
        <v>女</v>
      </c>
      <c r="E597" s="7" t="str">
        <f>"460005199801061929"</f>
        <v>460005199801061929</v>
      </c>
      <c r="F597" s="7" t="str">
        <f>"琼台师范学院"</f>
        <v>琼台师范学院</v>
      </c>
      <c r="G597" s="7" t="str">
        <f t="shared" si="248"/>
        <v>学前教育</v>
      </c>
      <c r="H597" s="7" t="str">
        <f t="shared" si="249"/>
        <v>专科</v>
      </c>
      <c r="I597" s="7" t="str">
        <f t="shared" si="243"/>
        <v>幼儿园教师资格</v>
      </c>
    </row>
    <row r="598" customHeight="1" spans="1:9">
      <c r="A598" s="6">
        <v>596</v>
      </c>
      <c r="B598" s="7" t="s">
        <v>11</v>
      </c>
      <c r="C598" s="8" t="str">
        <f>"李清文"</f>
        <v>李清文</v>
      </c>
      <c r="D598" s="8" t="str">
        <f t="shared" si="247"/>
        <v>女</v>
      </c>
      <c r="E598" s="7" t="str">
        <f>"460027199210058240"</f>
        <v>460027199210058240</v>
      </c>
      <c r="F598" s="7" t="str">
        <f>"海南师范大学"</f>
        <v>海南师范大学</v>
      </c>
      <c r="G598" s="7" t="str">
        <f t="shared" si="248"/>
        <v>学前教育</v>
      </c>
      <c r="H598" s="7" t="str">
        <f t="shared" si="249"/>
        <v>专科</v>
      </c>
      <c r="I598" s="7" t="str">
        <f t="shared" si="243"/>
        <v>幼儿园教师资格</v>
      </c>
    </row>
    <row r="599" customHeight="1" spans="1:9">
      <c r="A599" s="6">
        <v>597</v>
      </c>
      <c r="B599" s="7" t="s">
        <v>12</v>
      </c>
      <c r="C599" s="8" t="str">
        <f>"李莉蓉"</f>
        <v>李莉蓉</v>
      </c>
      <c r="D599" s="8" t="str">
        <f t="shared" si="247"/>
        <v>女</v>
      </c>
      <c r="E599" s="7" t="str">
        <f>"460036199204182727"</f>
        <v>460036199204182727</v>
      </c>
      <c r="F599" s="7" t="str">
        <f>"琼台师范高等专科学校"</f>
        <v>琼台师范高等专科学校</v>
      </c>
      <c r="G599" s="7" t="str">
        <f t="shared" si="248"/>
        <v>学前教育</v>
      </c>
      <c r="H599" s="7" t="str">
        <f t="shared" si="249"/>
        <v>专科</v>
      </c>
      <c r="I599" s="7" t="str">
        <f t="shared" si="243"/>
        <v>幼儿园教师资格</v>
      </c>
    </row>
    <row r="600" customHeight="1" spans="1:9">
      <c r="A600" s="6">
        <v>598</v>
      </c>
      <c r="B600" s="7" t="s">
        <v>12</v>
      </c>
      <c r="C600" s="8" t="str">
        <f>"王堂娜"</f>
        <v>王堂娜</v>
      </c>
      <c r="D600" s="8" t="str">
        <f t="shared" si="247"/>
        <v>女</v>
      </c>
      <c r="E600" s="7" t="str">
        <f>"46003319940604450X"</f>
        <v>46003319940604450X</v>
      </c>
      <c r="F600" s="7" t="str">
        <f>"海南省琼州学院"</f>
        <v>海南省琼州学院</v>
      </c>
      <c r="G600" s="7" t="str">
        <f t="shared" si="248"/>
        <v>学前教育</v>
      </c>
      <c r="H600" s="7" t="str">
        <f t="shared" si="249"/>
        <v>专科</v>
      </c>
      <c r="I600" s="7" t="str">
        <f t="shared" si="243"/>
        <v>幼儿园教师资格</v>
      </c>
    </row>
    <row r="601" customHeight="1" spans="1:9">
      <c r="A601" s="6">
        <v>599</v>
      </c>
      <c r="B601" s="7" t="s">
        <v>10</v>
      </c>
      <c r="C601" s="8" t="str">
        <f>"吴美粮"</f>
        <v>吴美粮</v>
      </c>
      <c r="D601" s="8" t="str">
        <f t="shared" si="247"/>
        <v>女</v>
      </c>
      <c r="E601" s="7" t="str">
        <f>"469021199610210029"</f>
        <v>469021199610210029</v>
      </c>
      <c r="F601" s="7" t="str">
        <f t="shared" ref="F601:F610" si="250">"琼台师范学院"</f>
        <v>琼台师范学院</v>
      </c>
      <c r="G601" s="7" t="str">
        <f t="shared" si="248"/>
        <v>学前教育</v>
      </c>
      <c r="H601" s="7" t="str">
        <f t="shared" si="249"/>
        <v>专科</v>
      </c>
      <c r="I601" s="7" t="str">
        <f t="shared" si="243"/>
        <v>幼儿园教师资格</v>
      </c>
    </row>
    <row r="602" customHeight="1" spans="1:9">
      <c r="A602" s="6">
        <v>600</v>
      </c>
      <c r="B602" s="7" t="s">
        <v>11</v>
      </c>
      <c r="C602" s="8" t="str">
        <f>"符宁宁"</f>
        <v>符宁宁</v>
      </c>
      <c r="D602" s="8" t="str">
        <f t="shared" si="247"/>
        <v>女</v>
      </c>
      <c r="E602" s="7" t="str">
        <f>"46000319950515022X"</f>
        <v>46000319950515022X</v>
      </c>
      <c r="F602" s="7" t="str">
        <f>"海南师范大学"</f>
        <v>海南师范大学</v>
      </c>
      <c r="G602" s="7" t="str">
        <f t="shared" si="248"/>
        <v>学前教育</v>
      </c>
      <c r="H602" s="7" t="str">
        <f t="shared" si="249"/>
        <v>专科</v>
      </c>
      <c r="I602" s="7" t="str">
        <f t="shared" si="243"/>
        <v>幼儿园教师资格</v>
      </c>
    </row>
    <row r="603" customHeight="1" spans="1:9">
      <c r="A603" s="6">
        <v>601</v>
      </c>
      <c r="B603" s="7" t="s">
        <v>10</v>
      </c>
      <c r="C603" s="8" t="str">
        <f>"唐诗"</f>
        <v>唐诗</v>
      </c>
      <c r="D603" s="8" t="str">
        <f t="shared" si="247"/>
        <v>女</v>
      </c>
      <c r="E603" s="7" t="str">
        <f>"460027199612240627"</f>
        <v>460027199612240627</v>
      </c>
      <c r="F603" s="7" t="str">
        <f t="shared" si="250"/>
        <v>琼台师范学院</v>
      </c>
      <c r="G603" s="7" t="str">
        <f t="shared" si="248"/>
        <v>学前教育</v>
      </c>
      <c r="H603" s="7" t="str">
        <f t="shared" si="249"/>
        <v>专科</v>
      </c>
      <c r="I603" s="7" t="str">
        <f t="shared" si="243"/>
        <v>幼儿园教师资格</v>
      </c>
    </row>
    <row r="604" customHeight="1" spans="1:9">
      <c r="A604" s="6">
        <v>602</v>
      </c>
      <c r="B604" s="7" t="s">
        <v>10</v>
      </c>
      <c r="C604" s="8" t="str">
        <f>"林香巽"</f>
        <v>林香巽</v>
      </c>
      <c r="D604" s="8" t="str">
        <f t="shared" si="247"/>
        <v>女</v>
      </c>
      <c r="E604" s="7" t="str">
        <f>"46000319920205242X"</f>
        <v>46000319920205242X</v>
      </c>
      <c r="F604" s="7" t="str">
        <f>"海南师范大学"</f>
        <v>海南师范大学</v>
      </c>
      <c r="G604" s="7" t="str">
        <f t="shared" si="248"/>
        <v>学前教育</v>
      </c>
      <c r="H604" s="7" t="str">
        <f>"本科"</f>
        <v>本科</v>
      </c>
      <c r="I604" s="7" t="str">
        <f t="shared" si="243"/>
        <v>幼儿园教师资格</v>
      </c>
    </row>
    <row r="605" customHeight="1" spans="1:9">
      <c r="A605" s="6">
        <v>603</v>
      </c>
      <c r="B605" s="7" t="s">
        <v>11</v>
      </c>
      <c r="C605" s="8" t="str">
        <f>"吉彦洁"</f>
        <v>吉彦洁</v>
      </c>
      <c r="D605" s="8" t="str">
        <f t="shared" si="247"/>
        <v>女</v>
      </c>
      <c r="E605" s="7" t="str">
        <f>"460006199608085626"</f>
        <v>460006199608085626</v>
      </c>
      <c r="F605" s="7" t="str">
        <f t="shared" si="250"/>
        <v>琼台师范学院</v>
      </c>
      <c r="G605" s="7" t="str">
        <f t="shared" si="248"/>
        <v>学前教育</v>
      </c>
      <c r="H605" s="7" t="str">
        <f t="shared" ref="H605:H612" si="251">"专科"</f>
        <v>专科</v>
      </c>
      <c r="I605" s="7" t="str">
        <f t="shared" si="243"/>
        <v>幼儿园教师资格</v>
      </c>
    </row>
    <row r="606" customHeight="1" spans="1:9">
      <c r="A606" s="6">
        <v>604</v>
      </c>
      <c r="B606" s="7" t="s">
        <v>12</v>
      </c>
      <c r="C606" s="8" t="str">
        <f>"吴华恋"</f>
        <v>吴华恋</v>
      </c>
      <c r="D606" s="8" t="str">
        <f t="shared" si="247"/>
        <v>女</v>
      </c>
      <c r="E606" s="7" t="str">
        <f>"460103199702012729"</f>
        <v>460103199702012729</v>
      </c>
      <c r="F606" s="7" t="str">
        <f t="shared" si="250"/>
        <v>琼台师范学院</v>
      </c>
      <c r="G606" s="7" t="str">
        <f t="shared" si="248"/>
        <v>学前教育</v>
      </c>
      <c r="H606" s="7" t="str">
        <f>"专科(高职)"</f>
        <v>专科(高职)</v>
      </c>
      <c r="I606" s="7" t="str">
        <f t="shared" si="243"/>
        <v>幼儿园教师资格</v>
      </c>
    </row>
    <row r="607" customHeight="1" spans="1:9">
      <c r="A607" s="6">
        <v>605</v>
      </c>
      <c r="B607" s="7" t="s">
        <v>10</v>
      </c>
      <c r="C607" s="8" t="str">
        <f>"黄海萍"</f>
        <v>黄海萍</v>
      </c>
      <c r="D607" s="8" t="str">
        <f t="shared" si="247"/>
        <v>女</v>
      </c>
      <c r="E607" s="7" t="str">
        <f>"460021199109064429"</f>
        <v>460021199109064429</v>
      </c>
      <c r="F607" s="7" t="str">
        <f t="shared" si="250"/>
        <v>琼台师范学院</v>
      </c>
      <c r="G607" s="7" t="str">
        <f t="shared" si="248"/>
        <v>学前教育</v>
      </c>
      <c r="H607" s="7" t="str">
        <f>"本科"</f>
        <v>本科</v>
      </c>
      <c r="I607" s="7" t="str">
        <f t="shared" si="243"/>
        <v>幼儿园教师资格</v>
      </c>
    </row>
    <row r="608" customHeight="1" spans="1:9">
      <c r="A608" s="6">
        <v>606</v>
      </c>
      <c r="B608" s="7" t="s">
        <v>10</v>
      </c>
      <c r="C608" s="8" t="str">
        <f>"王雅"</f>
        <v>王雅</v>
      </c>
      <c r="D608" s="8" t="str">
        <f t="shared" si="247"/>
        <v>女</v>
      </c>
      <c r="E608" s="7" t="str">
        <f>"460004199603012425"</f>
        <v>460004199603012425</v>
      </c>
      <c r="F608" s="7" t="str">
        <f t="shared" si="250"/>
        <v>琼台师范学院</v>
      </c>
      <c r="G608" s="7" t="str">
        <f t="shared" si="248"/>
        <v>学前教育</v>
      </c>
      <c r="H608" s="7" t="str">
        <f t="shared" si="251"/>
        <v>专科</v>
      </c>
      <c r="I608" s="7" t="str">
        <f t="shared" si="243"/>
        <v>幼儿园教师资格</v>
      </c>
    </row>
    <row r="609" customHeight="1" spans="1:9">
      <c r="A609" s="6">
        <v>607</v>
      </c>
      <c r="B609" s="7" t="s">
        <v>11</v>
      </c>
      <c r="C609" s="8" t="str">
        <f>"吴华芬"</f>
        <v>吴华芬</v>
      </c>
      <c r="D609" s="8" t="str">
        <f t="shared" si="247"/>
        <v>女</v>
      </c>
      <c r="E609" s="7" t="str">
        <f>"460004199510203644"</f>
        <v>460004199510203644</v>
      </c>
      <c r="F609" s="7" t="str">
        <f t="shared" si="250"/>
        <v>琼台师范学院</v>
      </c>
      <c r="G609" s="7" t="str">
        <f t="shared" si="248"/>
        <v>学前教育</v>
      </c>
      <c r="H609" s="7" t="str">
        <f t="shared" si="251"/>
        <v>专科</v>
      </c>
      <c r="I609" s="7" t="str">
        <f t="shared" si="243"/>
        <v>幼儿园教师资格</v>
      </c>
    </row>
    <row r="610" customHeight="1" spans="1:9">
      <c r="A610" s="6">
        <v>608</v>
      </c>
      <c r="B610" s="7" t="s">
        <v>11</v>
      </c>
      <c r="C610" s="8" t="str">
        <f>"陈欣欣"</f>
        <v>陈欣欣</v>
      </c>
      <c r="D610" s="8" t="str">
        <f t="shared" si="247"/>
        <v>女</v>
      </c>
      <c r="E610" s="7" t="str">
        <f>"460034199405114728"</f>
        <v>460034199405114728</v>
      </c>
      <c r="F610" s="7" t="str">
        <f t="shared" si="250"/>
        <v>琼台师范学院</v>
      </c>
      <c r="G610" s="7" t="str">
        <f t="shared" si="248"/>
        <v>学前教育</v>
      </c>
      <c r="H610" s="7" t="str">
        <f t="shared" si="251"/>
        <v>专科</v>
      </c>
      <c r="I610" s="7" t="str">
        <f t="shared" si="243"/>
        <v>幼儿园教师资格</v>
      </c>
    </row>
    <row r="611" customHeight="1" spans="1:9">
      <c r="A611" s="6">
        <v>609</v>
      </c>
      <c r="B611" s="7" t="s">
        <v>12</v>
      </c>
      <c r="C611" s="8" t="str">
        <f>"莫娇婷"</f>
        <v>莫娇婷</v>
      </c>
      <c r="D611" s="8" t="str">
        <f t="shared" si="247"/>
        <v>女</v>
      </c>
      <c r="E611" s="7" t="str">
        <f>"460025199308020029"</f>
        <v>460025199308020029</v>
      </c>
      <c r="F611" s="7" t="str">
        <f>"海南师范大学"</f>
        <v>海南师范大学</v>
      </c>
      <c r="G611" s="7" t="str">
        <f t="shared" si="248"/>
        <v>学前教育</v>
      </c>
      <c r="H611" s="7" t="str">
        <f t="shared" si="251"/>
        <v>专科</v>
      </c>
      <c r="I611" s="7" t="str">
        <f t="shared" si="243"/>
        <v>幼儿园教师资格</v>
      </c>
    </row>
    <row r="612" customHeight="1" spans="1:9">
      <c r="A612" s="6">
        <v>610</v>
      </c>
      <c r="B612" s="7" t="s">
        <v>11</v>
      </c>
      <c r="C612" s="8" t="str">
        <f>"牛玉容"</f>
        <v>牛玉容</v>
      </c>
      <c r="D612" s="8" t="str">
        <f t="shared" si="247"/>
        <v>女</v>
      </c>
      <c r="E612" s="7" t="str">
        <f>"610528199006043625"</f>
        <v>610528199006043625</v>
      </c>
      <c r="F612" s="7" t="str">
        <f>"琼台师范高等专科学校"</f>
        <v>琼台师范高等专科学校</v>
      </c>
      <c r="G612" s="7" t="str">
        <f t="shared" si="248"/>
        <v>学前教育</v>
      </c>
      <c r="H612" s="7" t="str">
        <f t="shared" si="251"/>
        <v>专科</v>
      </c>
      <c r="I612" s="7" t="str">
        <f t="shared" si="243"/>
        <v>幼儿园教师资格</v>
      </c>
    </row>
    <row r="613" customHeight="1" spans="1:9">
      <c r="A613" s="6">
        <v>611</v>
      </c>
      <c r="B613" s="7" t="s">
        <v>11</v>
      </c>
      <c r="C613" s="8" t="str">
        <f>"符彩燕"</f>
        <v>符彩燕</v>
      </c>
      <c r="D613" s="8" t="str">
        <f t="shared" si="247"/>
        <v>女</v>
      </c>
      <c r="E613" s="7" t="str">
        <f>"460003199406065425"</f>
        <v>460003199406065425</v>
      </c>
      <c r="F613" s="7" t="str">
        <f>"海南师范大学"</f>
        <v>海南师范大学</v>
      </c>
      <c r="G613" s="7" t="str">
        <f t="shared" si="248"/>
        <v>学前教育</v>
      </c>
      <c r="H613" s="7" t="str">
        <f>"本科"</f>
        <v>本科</v>
      </c>
      <c r="I613" s="7" t="str">
        <f t="shared" si="243"/>
        <v>幼儿园教师资格</v>
      </c>
    </row>
    <row r="614" customHeight="1" spans="1:9">
      <c r="A614" s="6">
        <v>612</v>
      </c>
      <c r="B614" s="7" t="s">
        <v>11</v>
      </c>
      <c r="C614" s="8" t="str">
        <f>"钟唐静"</f>
        <v>钟唐静</v>
      </c>
      <c r="D614" s="8" t="str">
        <f t="shared" si="247"/>
        <v>女</v>
      </c>
      <c r="E614" s="7" t="str">
        <f>"460031199108247242"</f>
        <v>460031199108247242</v>
      </c>
      <c r="F614" s="7" t="str">
        <f>"琼州学院"</f>
        <v>琼州学院</v>
      </c>
      <c r="G614" s="7" t="str">
        <f t="shared" si="248"/>
        <v>学前教育</v>
      </c>
      <c r="H614" s="7" t="str">
        <f t="shared" ref="H614:H616" si="252">"专科"</f>
        <v>专科</v>
      </c>
      <c r="I614" s="7" t="str">
        <f t="shared" si="243"/>
        <v>幼儿园教师资格</v>
      </c>
    </row>
    <row r="615" customHeight="1" spans="1:9">
      <c r="A615" s="6">
        <v>613</v>
      </c>
      <c r="B615" s="7" t="s">
        <v>10</v>
      </c>
      <c r="C615" s="8" t="str">
        <f>"李启祯"</f>
        <v>李启祯</v>
      </c>
      <c r="D615" s="8" t="str">
        <f>"男"</f>
        <v>男</v>
      </c>
      <c r="E615" s="7" t="str">
        <f>"460003199308102835"</f>
        <v>460003199308102835</v>
      </c>
      <c r="F615" s="7" t="str">
        <f t="shared" ref="F615:F619" si="253">"琼台师范学院"</f>
        <v>琼台师范学院</v>
      </c>
      <c r="G615" s="7" t="str">
        <f t="shared" si="248"/>
        <v>学前教育</v>
      </c>
      <c r="H615" s="7" t="str">
        <f t="shared" si="252"/>
        <v>专科</v>
      </c>
      <c r="I615" s="7" t="str">
        <f t="shared" si="243"/>
        <v>幼儿园教师资格</v>
      </c>
    </row>
    <row r="616" customHeight="1" spans="1:9">
      <c r="A616" s="6">
        <v>614</v>
      </c>
      <c r="B616" s="7" t="s">
        <v>10</v>
      </c>
      <c r="C616" s="8" t="str">
        <f>"钟婵偲"</f>
        <v>钟婵偲</v>
      </c>
      <c r="D616" s="8" t="str">
        <f t="shared" ref="D616:D679" si="254">"女"</f>
        <v>女</v>
      </c>
      <c r="E616" s="7" t="str">
        <f>"469027199612242364"</f>
        <v>469027199612242364</v>
      </c>
      <c r="F616" s="7" t="str">
        <f t="shared" si="253"/>
        <v>琼台师范学院</v>
      </c>
      <c r="G616" s="7" t="str">
        <f t="shared" si="248"/>
        <v>学前教育</v>
      </c>
      <c r="H616" s="7" t="str">
        <f t="shared" si="252"/>
        <v>专科</v>
      </c>
      <c r="I616" s="7" t="str">
        <f t="shared" si="243"/>
        <v>幼儿园教师资格</v>
      </c>
    </row>
    <row r="617" customHeight="1" spans="1:9">
      <c r="A617" s="6">
        <v>615</v>
      </c>
      <c r="B617" s="7" t="s">
        <v>10</v>
      </c>
      <c r="C617" s="8" t="str">
        <f>"符业香"</f>
        <v>符业香</v>
      </c>
      <c r="D617" s="8" t="str">
        <f t="shared" si="254"/>
        <v>女</v>
      </c>
      <c r="E617" s="7" t="str">
        <f>"460003199409166221"</f>
        <v>460003199409166221</v>
      </c>
      <c r="F617" s="7" t="str">
        <f>"山东英才学院"</f>
        <v>山东英才学院</v>
      </c>
      <c r="G617" s="7" t="str">
        <f t="shared" si="248"/>
        <v>学前教育</v>
      </c>
      <c r="H617" s="7" t="str">
        <f t="shared" ref="H617:H622" si="255">"本科"</f>
        <v>本科</v>
      </c>
      <c r="I617" s="7" t="str">
        <f t="shared" si="243"/>
        <v>幼儿园教师资格</v>
      </c>
    </row>
    <row r="618" customHeight="1" spans="1:9">
      <c r="A618" s="6">
        <v>616</v>
      </c>
      <c r="B618" s="7" t="s">
        <v>10</v>
      </c>
      <c r="C618" s="8" t="str">
        <f>"曾春艳"</f>
        <v>曾春艳</v>
      </c>
      <c r="D618" s="8" t="str">
        <f t="shared" si="254"/>
        <v>女</v>
      </c>
      <c r="E618" s="7" t="str">
        <f>"522423199205200825"</f>
        <v>522423199205200825</v>
      </c>
      <c r="F618" s="7" t="str">
        <f>"贵阳学院"</f>
        <v>贵阳学院</v>
      </c>
      <c r="G618" s="7" t="str">
        <f t="shared" si="248"/>
        <v>学前教育</v>
      </c>
      <c r="H618" s="7" t="str">
        <f t="shared" ref="H618:H621" si="256">"专科"</f>
        <v>专科</v>
      </c>
      <c r="I618" s="7" t="str">
        <f t="shared" si="243"/>
        <v>幼儿园教师资格</v>
      </c>
    </row>
    <row r="619" customHeight="1" spans="1:9">
      <c r="A619" s="6">
        <v>617</v>
      </c>
      <c r="B619" s="7" t="s">
        <v>11</v>
      </c>
      <c r="C619" s="8" t="str">
        <f>"王楠楠"</f>
        <v>王楠楠</v>
      </c>
      <c r="D619" s="8" t="str">
        <f t="shared" si="254"/>
        <v>女</v>
      </c>
      <c r="E619" s="7" t="str">
        <f>"341281199303143201"</f>
        <v>341281199303143201</v>
      </c>
      <c r="F619" s="7" t="str">
        <f t="shared" si="253"/>
        <v>琼台师范学院</v>
      </c>
      <c r="G619" s="7" t="str">
        <f t="shared" si="248"/>
        <v>学前教育</v>
      </c>
      <c r="H619" s="7" t="str">
        <f t="shared" si="256"/>
        <v>专科</v>
      </c>
      <c r="I619" s="7" t="str">
        <f t="shared" si="243"/>
        <v>幼儿园教师资格</v>
      </c>
    </row>
    <row r="620" customHeight="1" spans="1:9">
      <c r="A620" s="6">
        <v>618</v>
      </c>
      <c r="B620" s="7" t="s">
        <v>11</v>
      </c>
      <c r="C620" s="8" t="str">
        <f>"刘欣欣"</f>
        <v>刘欣欣</v>
      </c>
      <c r="D620" s="8" t="str">
        <f t="shared" si="254"/>
        <v>女</v>
      </c>
      <c r="E620" s="7" t="str">
        <f>"460027199611025925"</f>
        <v>460027199611025925</v>
      </c>
      <c r="F620" s="7" t="str">
        <f>"江西科技师范大学"</f>
        <v>江西科技师范大学</v>
      </c>
      <c r="G620" s="7" t="str">
        <f t="shared" si="248"/>
        <v>学前教育</v>
      </c>
      <c r="H620" s="7" t="str">
        <f t="shared" si="255"/>
        <v>本科</v>
      </c>
      <c r="I620" s="7" t="str">
        <f t="shared" si="243"/>
        <v>幼儿园教师资格</v>
      </c>
    </row>
    <row r="621" customHeight="1" spans="1:9">
      <c r="A621" s="6">
        <v>619</v>
      </c>
      <c r="B621" s="7" t="s">
        <v>11</v>
      </c>
      <c r="C621" s="8" t="str">
        <f>"黄晓奕"</f>
        <v>黄晓奕</v>
      </c>
      <c r="D621" s="8" t="str">
        <f t="shared" si="254"/>
        <v>女</v>
      </c>
      <c r="E621" s="7" t="str">
        <f>"460034199302031225"</f>
        <v>460034199302031225</v>
      </c>
      <c r="F621" s="7" t="str">
        <f>"琼台师范学院"</f>
        <v>琼台师范学院</v>
      </c>
      <c r="G621" s="7" t="str">
        <f>"学前教育专业"</f>
        <v>学前教育专业</v>
      </c>
      <c r="H621" s="7" t="str">
        <f t="shared" si="256"/>
        <v>专科</v>
      </c>
      <c r="I621" s="7" t="str">
        <f t="shared" si="243"/>
        <v>幼儿园教师资格</v>
      </c>
    </row>
    <row r="622" customHeight="1" spans="1:9">
      <c r="A622" s="6">
        <v>620</v>
      </c>
      <c r="B622" s="7" t="s">
        <v>11</v>
      </c>
      <c r="C622" s="8" t="str">
        <f>"冯政"</f>
        <v>冯政</v>
      </c>
      <c r="D622" s="8" t="str">
        <f t="shared" si="254"/>
        <v>女</v>
      </c>
      <c r="E622" s="7" t="str">
        <f>"460006198912261626"</f>
        <v>460006198912261626</v>
      </c>
      <c r="F622" s="7" t="str">
        <f>"衡水学院"</f>
        <v>衡水学院</v>
      </c>
      <c r="G622" s="7" t="str">
        <f t="shared" ref="G622:G627" si="257">"学前教育"</f>
        <v>学前教育</v>
      </c>
      <c r="H622" s="7" t="str">
        <f t="shared" si="255"/>
        <v>本科</v>
      </c>
      <c r="I622" s="7" t="str">
        <f t="shared" si="243"/>
        <v>幼儿园教师资格</v>
      </c>
    </row>
    <row r="623" customHeight="1" spans="1:9">
      <c r="A623" s="6">
        <v>621</v>
      </c>
      <c r="B623" s="7" t="s">
        <v>11</v>
      </c>
      <c r="C623" s="8" t="str">
        <f>"郑月宛"</f>
        <v>郑月宛</v>
      </c>
      <c r="D623" s="8" t="str">
        <f t="shared" si="254"/>
        <v>女</v>
      </c>
      <c r="E623" s="7" t="str">
        <f>"46003419950207182X"</f>
        <v>46003419950207182X</v>
      </c>
      <c r="F623" s="7" t="str">
        <f>"琼台师范学院"</f>
        <v>琼台师范学院</v>
      </c>
      <c r="G623" s="7" t="str">
        <f t="shared" si="257"/>
        <v>学前教育</v>
      </c>
      <c r="H623" s="7" t="str">
        <f t="shared" ref="H623:H625" si="258">"专科"</f>
        <v>专科</v>
      </c>
      <c r="I623" s="7" t="str">
        <f t="shared" si="243"/>
        <v>幼儿园教师资格</v>
      </c>
    </row>
    <row r="624" customHeight="1" spans="1:9">
      <c r="A624" s="6">
        <v>622</v>
      </c>
      <c r="B624" s="7" t="s">
        <v>12</v>
      </c>
      <c r="C624" s="8" t="str">
        <f>"许颖慧"</f>
        <v>许颖慧</v>
      </c>
      <c r="D624" s="8" t="str">
        <f t="shared" si="254"/>
        <v>女</v>
      </c>
      <c r="E624" s="7" t="str">
        <f>"460103199802031222"</f>
        <v>460103199802031222</v>
      </c>
      <c r="F624" s="7" t="str">
        <f>"海南省琼台师范学院"</f>
        <v>海南省琼台师范学院</v>
      </c>
      <c r="G624" s="7" t="str">
        <f t="shared" si="257"/>
        <v>学前教育</v>
      </c>
      <c r="H624" s="7" t="str">
        <f t="shared" si="258"/>
        <v>专科</v>
      </c>
      <c r="I624" s="7" t="str">
        <f t="shared" si="243"/>
        <v>幼儿园教师资格</v>
      </c>
    </row>
    <row r="625" customHeight="1" spans="1:9">
      <c r="A625" s="6">
        <v>623</v>
      </c>
      <c r="B625" s="7" t="s">
        <v>10</v>
      </c>
      <c r="C625" s="8" t="str">
        <f>"陈忠丹"</f>
        <v>陈忠丹</v>
      </c>
      <c r="D625" s="8" t="str">
        <f t="shared" si="254"/>
        <v>女</v>
      </c>
      <c r="E625" s="7" t="str">
        <f>"460003199507116623"</f>
        <v>460003199507116623</v>
      </c>
      <c r="F625" s="7" t="str">
        <f>"湖北省鄂州市鄂州职业大学"</f>
        <v>湖北省鄂州市鄂州职业大学</v>
      </c>
      <c r="G625" s="7" t="str">
        <f t="shared" si="257"/>
        <v>学前教育</v>
      </c>
      <c r="H625" s="7" t="str">
        <f t="shared" si="258"/>
        <v>专科</v>
      </c>
      <c r="I625" s="7" t="str">
        <f t="shared" si="243"/>
        <v>幼儿园教师资格</v>
      </c>
    </row>
    <row r="626" customHeight="1" spans="1:9">
      <c r="A626" s="6">
        <v>624</v>
      </c>
      <c r="B626" s="7" t="s">
        <v>10</v>
      </c>
      <c r="C626" s="8" t="str">
        <f>"孙玉苑"</f>
        <v>孙玉苑</v>
      </c>
      <c r="D626" s="8" t="str">
        <f t="shared" si="254"/>
        <v>女</v>
      </c>
      <c r="E626" s="7" t="str">
        <f>"460033199304183285"</f>
        <v>460033199304183285</v>
      </c>
      <c r="F626" s="7" t="str">
        <f>"海南师范大学"</f>
        <v>海南师范大学</v>
      </c>
      <c r="G626" s="7" t="str">
        <f t="shared" si="257"/>
        <v>学前教育</v>
      </c>
      <c r="H626" s="7" t="str">
        <f t="shared" ref="H626:H630" si="259">"本科"</f>
        <v>本科</v>
      </c>
      <c r="I626" s="7" t="str">
        <f t="shared" si="243"/>
        <v>幼儿园教师资格</v>
      </c>
    </row>
    <row r="627" customHeight="1" spans="1:9">
      <c r="A627" s="6">
        <v>625</v>
      </c>
      <c r="B627" s="7" t="s">
        <v>10</v>
      </c>
      <c r="C627" s="8" t="str">
        <f>"陈土妹"</f>
        <v>陈土妹</v>
      </c>
      <c r="D627" s="8" t="str">
        <f t="shared" si="254"/>
        <v>女</v>
      </c>
      <c r="E627" s="7" t="str">
        <f>"469003199311256120"</f>
        <v>469003199311256120</v>
      </c>
      <c r="F627" s="7" t="str">
        <f>"衡阳师范学院"</f>
        <v>衡阳师范学院</v>
      </c>
      <c r="G627" s="7" t="str">
        <f t="shared" si="257"/>
        <v>学前教育</v>
      </c>
      <c r="H627" s="7" t="str">
        <f t="shared" si="259"/>
        <v>本科</v>
      </c>
      <c r="I627" s="7" t="str">
        <f t="shared" si="243"/>
        <v>幼儿园教师资格</v>
      </c>
    </row>
    <row r="628" customHeight="1" spans="1:9">
      <c r="A628" s="6">
        <v>626</v>
      </c>
      <c r="B628" s="7" t="s">
        <v>11</v>
      </c>
      <c r="C628" s="8" t="str">
        <f>"吴梅霞"</f>
        <v>吴梅霞</v>
      </c>
      <c r="D628" s="8" t="str">
        <f t="shared" si="254"/>
        <v>女</v>
      </c>
      <c r="E628" s="7" t="str">
        <f>"460003199408202622"</f>
        <v>460003199408202622</v>
      </c>
      <c r="F628" s="7" t="str">
        <f>"琼台师范学院"</f>
        <v>琼台师范学院</v>
      </c>
      <c r="G628" s="7" t="str">
        <f>"学前教育（英语方向）"</f>
        <v>学前教育（英语方向）</v>
      </c>
      <c r="H628" s="7" t="str">
        <f t="shared" ref="H628:H640" si="260">"专科"</f>
        <v>专科</v>
      </c>
      <c r="I628" s="7" t="str">
        <f t="shared" si="243"/>
        <v>幼儿园教师资格</v>
      </c>
    </row>
    <row r="629" customHeight="1" spans="1:9">
      <c r="A629" s="6">
        <v>627</v>
      </c>
      <c r="B629" s="7" t="s">
        <v>11</v>
      </c>
      <c r="C629" s="8" t="str">
        <f>"林生霞"</f>
        <v>林生霞</v>
      </c>
      <c r="D629" s="8" t="str">
        <f t="shared" si="254"/>
        <v>女</v>
      </c>
      <c r="E629" s="7" t="str">
        <f>"460007199405205823"</f>
        <v>460007199405205823</v>
      </c>
      <c r="F629" s="7" t="str">
        <f>"海南热带海洋学院"</f>
        <v>海南热带海洋学院</v>
      </c>
      <c r="G629" s="7" t="str">
        <f t="shared" ref="G629:G635" si="261">"学前教育"</f>
        <v>学前教育</v>
      </c>
      <c r="H629" s="7" t="str">
        <f t="shared" si="260"/>
        <v>专科</v>
      </c>
      <c r="I629" s="7" t="str">
        <f t="shared" si="243"/>
        <v>幼儿园教师资格</v>
      </c>
    </row>
    <row r="630" customHeight="1" spans="1:9">
      <c r="A630" s="6">
        <v>628</v>
      </c>
      <c r="B630" s="7" t="s">
        <v>10</v>
      </c>
      <c r="C630" s="8" t="str">
        <f>"吴雨蔓"</f>
        <v>吴雨蔓</v>
      </c>
      <c r="D630" s="8" t="str">
        <f t="shared" si="254"/>
        <v>女</v>
      </c>
      <c r="E630" s="7" t="str">
        <f>"460004199403205820"</f>
        <v>460004199403205820</v>
      </c>
      <c r="F630" s="7" t="str">
        <f>"海南师范大学"</f>
        <v>海南师范大学</v>
      </c>
      <c r="G630" s="7" t="str">
        <f t="shared" si="261"/>
        <v>学前教育</v>
      </c>
      <c r="H630" s="7" t="str">
        <f t="shared" si="259"/>
        <v>本科</v>
      </c>
      <c r="I630" s="7" t="str">
        <f t="shared" si="243"/>
        <v>幼儿园教师资格</v>
      </c>
    </row>
    <row r="631" customHeight="1" spans="1:9">
      <c r="A631" s="6">
        <v>629</v>
      </c>
      <c r="B631" s="7" t="s">
        <v>10</v>
      </c>
      <c r="C631" s="8" t="str">
        <f>"秦睿新"</f>
        <v>秦睿新</v>
      </c>
      <c r="D631" s="8" t="str">
        <f t="shared" si="254"/>
        <v>女</v>
      </c>
      <c r="E631" s="7" t="str">
        <f>"622701199712264526"</f>
        <v>622701199712264526</v>
      </c>
      <c r="F631" s="7" t="str">
        <f>"琼台师范学院"</f>
        <v>琼台师范学院</v>
      </c>
      <c r="G631" s="7" t="str">
        <f>"学前教育专业"</f>
        <v>学前教育专业</v>
      </c>
      <c r="H631" s="7" t="str">
        <f t="shared" si="260"/>
        <v>专科</v>
      </c>
      <c r="I631" s="7" t="str">
        <f t="shared" si="243"/>
        <v>幼儿园教师资格</v>
      </c>
    </row>
    <row r="632" customHeight="1" spans="1:9">
      <c r="A632" s="6">
        <v>630</v>
      </c>
      <c r="B632" s="7" t="s">
        <v>12</v>
      </c>
      <c r="C632" s="8" t="str">
        <f>"洪菁穗"</f>
        <v>洪菁穗</v>
      </c>
      <c r="D632" s="8" t="str">
        <f t="shared" si="254"/>
        <v>女</v>
      </c>
      <c r="E632" s="7" t="str">
        <f>"460004199503045289"</f>
        <v>460004199503045289</v>
      </c>
      <c r="F632" s="7" t="str">
        <f>"海南外国语职业学院"</f>
        <v>海南外国语职业学院</v>
      </c>
      <c r="G632" s="13" t="s">
        <v>14</v>
      </c>
      <c r="H632" s="7" t="str">
        <f t="shared" si="260"/>
        <v>专科</v>
      </c>
      <c r="I632" s="7" t="str">
        <f t="shared" si="243"/>
        <v>幼儿园教师资格</v>
      </c>
    </row>
    <row r="633" customHeight="1" spans="1:9">
      <c r="A633" s="6">
        <v>631</v>
      </c>
      <c r="B633" s="7" t="s">
        <v>10</v>
      </c>
      <c r="C633" s="8" t="str">
        <f>"李峻满"</f>
        <v>李峻满</v>
      </c>
      <c r="D633" s="8" t="str">
        <f t="shared" si="254"/>
        <v>女</v>
      </c>
      <c r="E633" s="7" t="str">
        <f>"460034199506165823"</f>
        <v>460034199506165823</v>
      </c>
      <c r="F633" s="7" t="str">
        <f>"琼台师范高等专科学校"</f>
        <v>琼台师范高等专科学校</v>
      </c>
      <c r="G633" s="7" t="str">
        <f>"学前教育专业"</f>
        <v>学前教育专业</v>
      </c>
      <c r="H633" s="7" t="str">
        <f t="shared" si="260"/>
        <v>专科</v>
      </c>
      <c r="I633" s="7" t="str">
        <f t="shared" si="243"/>
        <v>幼儿园教师资格</v>
      </c>
    </row>
    <row r="634" customHeight="1" spans="1:9">
      <c r="A634" s="6">
        <v>632</v>
      </c>
      <c r="B634" s="7" t="s">
        <v>10</v>
      </c>
      <c r="C634" s="8" t="str">
        <f>"孙小雅"</f>
        <v>孙小雅</v>
      </c>
      <c r="D634" s="8" t="str">
        <f t="shared" si="254"/>
        <v>女</v>
      </c>
      <c r="E634" s="7" t="str">
        <f>"460028199605170022"</f>
        <v>460028199605170022</v>
      </c>
      <c r="F634" s="7" t="str">
        <f>"海南热带海洋学院"</f>
        <v>海南热带海洋学院</v>
      </c>
      <c r="G634" s="7" t="str">
        <f t="shared" si="261"/>
        <v>学前教育</v>
      </c>
      <c r="H634" s="7" t="str">
        <f t="shared" si="260"/>
        <v>专科</v>
      </c>
      <c r="I634" s="7" t="str">
        <f t="shared" si="243"/>
        <v>幼儿园教师资格</v>
      </c>
    </row>
    <row r="635" customHeight="1" spans="1:9">
      <c r="A635" s="6">
        <v>633</v>
      </c>
      <c r="B635" s="7" t="s">
        <v>10</v>
      </c>
      <c r="C635" s="8" t="str">
        <f>"李秀娇"</f>
        <v>李秀娇</v>
      </c>
      <c r="D635" s="8" t="str">
        <f t="shared" si="254"/>
        <v>女</v>
      </c>
      <c r="E635" s="7" t="str">
        <f>"460003199409262029"</f>
        <v>460003199409262029</v>
      </c>
      <c r="F635" s="7" t="str">
        <f>"广西城市职业大学"</f>
        <v>广西城市职业大学</v>
      </c>
      <c r="G635" s="7" t="str">
        <f t="shared" si="261"/>
        <v>学前教育</v>
      </c>
      <c r="H635" s="7" t="str">
        <f t="shared" si="260"/>
        <v>专科</v>
      </c>
      <c r="I635" s="7" t="str">
        <f t="shared" si="243"/>
        <v>幼儿园教师资格</v>
      </c>
    </row>
    <row r="636" customHeight="1" spans="1:9">
      <c r="A636" s="6">
        <v>634</v>
      </c>
      <c r="B636" s="7" t="s">
        <v>10</v>
      </c>
      <c r="C636" s="8" t="str">
        <f>"陈兰香"</f>
        <v>陈兰香</v>
      </c>
      <c r="D636" s="8" t="str">
        <f t="shared" si="254"/>
        <v>女</v>
      </c>
      <c r="E636" s="7" t="str">
        <f>"460022199507010721"</f>
        <v>460022199507010721</v>
      </c>
      <c r="F636" s="7" t="str">
        <f>"琼台师范大学"</f>
        <v>琼台师范大学</v>
      </c>
      <c r="G636" s="7" t="str">
        <f>"学前教育（英语方向）"</f>
        <v>学前教育（英语方向）</v>
      </c>
      <c r="H636" s="7" t="str">
        <f t="shared" si="260"/>
        <v>专科</v>
      </c>
      <c r="I636" s="7" t="str">
        <f t="shared" si="243"/>
        <v>幼儿园教师资格</v>
      </c>
    </row>
    <row r="637" customHeight="1" spans="1:9">
      <c r="A637" s="6">
        <v>635</v>
      </c>
      <c r="B637" s="7" t="s">
        <v>11</v>
      </c>
      <c r="C637" s="8" t="str">
        <f>"黄春爱"</f>
        <v>黄春爱</v>
      </c>
      <c r="D637" s="8" t="str">
        <f t="shared" si="254"/>
        <v>女</v>
      </c>
      <c r="E637" s="7" t="str">
        <f>"460200199201184481"</f>
        <v>460200199201184481</v>
      </c>
      <c r="F637" s="7" t="str">
        <f>"海南热带海洋学院"</f>
        <v>海南热带海洋学院</v>
      </c>
      <c r="G637" s="7" t="str">
        <f t="shared" ref="G637:G639" si="262">"学前教育"</f>
        <v>学前教育</v>
      </c>
      <c r="H637" s="7" t="str">
        <f t="shared" si="260"/>
        <v>专科</v>
      </c>
      <c r="I637" s="7" t="str">
        <f t="shared" si="243"/>
        <v>幼儿园教师资格</v>
      </c>
    </row>
    <row r="638" customHeight="1" spans="1:9">
      <c r="A638" s="6">
        <v>636</v>
      </c>
      <c r="B638" s="7" t="s">
        <v>11</v>
      </c>
      <c r="C638" s="8" t="str">
        <f>"王冰冰"</f>
        <v>王冰冰</v>
      </c>
      <c r="D638" s="8" t="str">
        <f t="shared" si="254"/>
        <v>女</v>
      </c>
      <c r="E638" s="7" t="str">
        <f>"460026199610111825"</f>
        <v>460026199610111825</v>
      </c>
      <c r="F638" s="7" t="str">
        <f t="shared" ref="F638:F642" si="263">"琼台师范学院"</f>
        <v>琼台师范学院</v>
      </c>
      <c r="G638" s="7" t="str">
        <f t="shared" si="262"/>
        <v>学前教育</v>
      </c>
      <c r="H638" s="7" t="str">
        <f t="shared" si="260"/>
        <v>专科</v>
      </c>
      <c r="I638" s="7" t="str">
        <f t="shared" si="243"/>
        <v>幼儿园教师资格</v>
      </c>
    </row>
    <row r="639" customHeight="1" spans="1:9">
      <c r="A639" s="6">
        <v>637</v>
      </c>
      <c r="B639" s="7" t="s">
        <v>10</v>
      </c>
      <c r="C639" s="8" t="str">
        <f>"游象琼"</f>
        <v>游象琼</v>
      </c>
      <c r="D639" s="8" t="str">
        <f t="shared" si="254"/>
        <v>女</v>
      </c>
      <c r="E639" s="7" t="str">
        <f>"460003199508032827"</f>
        <v>460003199508032827</v>
      </c>
      <c r="F639" s="7" t="str">
        <f t="shared" si="263"/>
        <v>琼台师范学院</v>
      </c>
      <c r="G639" s="7" t="str">
        <f t="shared" si="262"/>
        <v>学前教育</v>
      </c>
      <c r="H639" s="7" t="str">
        <f t="shared" si="260"/>
        <v>专科</v>
      </c>
      <c r="I639" s="7" t="str">
        <f t="shared" si="243"/>
        <v>幼儿园教师资格</v>
      </c>
    </row>
    <row r="640" customHeight="1" spans="1:9">
      <c r="A640" s="6">
        <v>638</v>
      </c>
      <c r="B640" s="7" t="s">
        <v>11</v>
      </c>
      <c r="C640" s="8" t="str">
        <f>"林填"</f>
        <v>林填</v>
      </c>
      <c r="D640" s="8" t="str">
        <f t="shared" si="254"/>
        <v>女</v>
      </c>
      <c r="E640" s="7" t="str">
        <f>"445122199412130049"</f>
        <v>445122199412130049</v>
      </c>
      <c r="F640" s="7" t="str">
        <f>"海口市琼台师范学院 "</f>
        <v>海口市琼台师范学院 </v>
      </c>
      <c r="G640" s="7" t="str">
        <f>"学前教育专业 "</f>
        <v>学前教育专业 </v>
      </c>
      <c r="H640" s="7" t="str">
        <f t="shared" si="260"/>
        <v>专科</v>
      </c>
      <c r="I640" s="7" t="str">
        <f t="shared" si="243"/>
        <v>幼儿园教师资格</v>
      </c>
    </row>
    <row r="641" customHeight="1" spans="1:9">
      <c r="A641" s="6">
        <v>639</v>
      </c>
      <c r="B641" s="7" t="s">
        <v>10</v>
      </c>
      <c r="C641" s="8" t="str">
        <f>"李笛帆"</f>
        <v>李笛帆</v>
      </c>
      <c r="D641" s="8" t="str">
        <f t="shared" si="254"/>
        <v>女</v>
      </c>
      <c r="E641" s="7" t="str">
        <f>"46002819930202524X"</f>
        <v>46002819930202524X</v>
      </c>
      <c r="F641" s="7" t="str">
        <f>"贵州师范学院"</f>
        <v>贵州师范学院</v>
      </c>
      <c r="G641" s="7" t="str">
        <f t="shared" ref="G641:G647" si="264">"学前教育"</f>
        <v>学前教育</v>
      </c>
      <c r="H641" s="7" t="str">
        <f>"本科"</f>
        <v>本科</v>
      </c>
      <c r="I641" s="7" t="str">
        <f t="shared" si="243"/>
        <v>幼儿园教师资格</v>
      </c>
    </row>
    <row r="642" customHeight="1" spans="1:9">
      <c r="A642" s="6">
        <v>640</v>
      </c>
      <c r="B642" s="7" t="s">
        <v>12</v>
      </c>
      <c r="C642" s="8" t="str">
        <f>"陈艳艳"</f>
        <v>陈艳艳</v>
      </c>
      <c r="D642" s="8" t="str">
        <f t="shared" si="254"/>
        <v>女</v>
      </c>
      <c r="E642" s="7" t="str">
        <f>"46000619960110234X"</f>
        <v>46000619960110234X</v>
      </c>
      <c r="F642" s="7" t="str">
        <f t="shared" si="263"/>
        <v>琼台师范学院</v>
      </c>
      <c r="G642" s="7" t="str">
        <f t="shared" si="264"/>
        <v>学前教育</v>
      </c>
      <c r="H642" s="7" t="str">
        <f>"专科(高职)"</f>
        <v>专科(高职)</v>
      </c>
      <c r="I642" s="7" t="str">
        <f t="shared" ref="I642:I705" si="265">"幼儿园教师资格"</f>
        <v>幼儿园教师资格</v>
      </c>
    </row>
    <row r="643" customHeight="1" spans="1:9">
      <c r="A643" s="6">
        <v>641</v>
      </c>
      <c r="B643" s="7" t="s">
        <v>11</v>
      </c>
      <c r="C643" s="8" t="str">
        <f>"邢孔立"</f>
        <v>邢孔立</v>
      </c>
      <c r="D643" s="8" t="str">
        <f t="shared" si="254"/>
        <v>女</v>
      </c>
      <c r="E643" s="7" t="str">
        <f>"460033199311074482"</f>
        <v>460033199311074482</v>
      </c>
      <c r="F643" s="7" t="str">
        <f>"海南热带海洋学院"</f>
        <v>海南热带海洋学院</v>
      </c>
      <c r="G643" s="7" t="str">
        <f t="shared" si="264"/>
        <v>学前教育</v>
      </c>
      <c r="H643" s="7" t="str">
        <f t="shared" ref="H643:H646" si="266">"专科"</f>
        <v>专科</v>
      </c>
      <c r="I643" s="7" t="str">
        <f t="shared" si="265"/>
        <v>幼儿园教师资格</v>
      </c>
    </row>
    <row r="644" customHeight="1" spans="1:9">
      <c r="A644" s="6">
        <v>642</v>
      </c>
      <c r="B644" s="7" t="s">
        <v>10</v>
      </c>
      <c r="C644" s="8" t="str">
        <f>"石碧妲"</f>
        <v>石碧妲</v>
      </c>
      <c r="D644" s="8" t="str">
        <f t="shared" si="254"/>
        <v>女</v>
      </c>
      <c r="E644" s="7" t="str">
        <f>"460035199109213242"</f>
        <v>460035199109213242</v>
      </c>
      <c r="F644" s="7" t="str">
        <f>"海南师范大学"</f>
        <v>海南师范大学</v>
      </c>
      <c r="G644" s="7" t="str">
        <f t="shared" si="264"/>
        <v>学前教育</v>
      </c>
      <c r="H644" s="7" t="str">
        <f t="shared" ref="H644:H649" si="267">"本科"</f>
        <v>本科</v>
      </c>
      <c r="I644" s="7" t="str">
        <f t="shared" si="265"/>
        <v>幼儿园教师资格</v>
      </c>
    </row>
    <row r="645" customHeight="1" spans="1:9">
      <c r="A645" s="6">
        <v>643</v>
      </c>
      <c r="B645" s="7" t="s">
        <v>11</v>
      </c>
      <c r="C645" s="8" t="str">
        <f>"吴秋扬"</f>
        <v>吴秋扬</v>
      </c>
      <c r="D645" s="8" t="str">
        <f t="shared" si="254"/>
        <v>女</v>
      </c>
      <c r="E645" s="7" t="str">
        <f>"460003199708092840"</f>
        <v>460003199708092840</v>
      </c>
      <c r="F645" s="7" t="str">
        <f>"琼台师范学院"</f>
        <v>琼台师范学院</v>
      </c>
      <c r="G645" s="7" t="str">
        <f t="shared" si="264"/>
        <v>学前教育</v>
      </c>
      <c r="H645" s="7" t="str">
        <f t="shared" si="266"/>
        <v>专科</v>
      </c>
      <c r="I645" s="7" t="str">
        <f t="shared" si="265"/>
        <v>幼儿园教师资格</v>
      </c>
    </row>
    <row r="646" customHeight="1" spans="1:9">
      <c r="A646" s="6">
        <v>644</v>
      </c>
      <c r="B646" s="7" t="s">
        <v>10</v>
      </c>
      <c r="C646" s="8" t="str">
        <f>"李娜"</f>
        <v>李娜</v>
      </c>
      <c r="D646" s="8" t="str">
        <f t="shared" si="254"/>
        <v>女</v>
      </c>
      <c r="E646" s="7" t="str">
        <f>"460006199805233747"</f>
        <v>460006199805233747</v>
      </c>
      <c r="F646" s="7" t="str">
        <f>"琼台师范学院"</f>
        <v>琼台师范学院</v>
      </c>
      <c r="G646" s="7" t="str">
        <f t="shared" si="264"/>
        <v>学前教育</v>
      </c>
      <c r="H646" s="7" t="str">
        <f t="shared" si="266"/>
        <v>专科</v>
      </c>
      <c r="I646" s="7" t="str">
        <f t="shared" si="265"/>
        <v>幼儿园教师资格</v>
      </c>
    </row>
    <row r="647" customHeight="1" spans="1:9">
      <c r="A647" s="6">
        <v>645</v>
      </c>
      <c r="B647" s="7" t="s">
        <v>12</v>
      </c>
      <c r="C647" s="8" t="str">
        <f>"潘丽敏"</f>
        <v>潘丽敏</v>
      </c>
      <c r="D647" s="8" t="str">
        <f t="shared" si="254"/>
        <v>女</v>
      </c>
      <c r="E647" s="7" t="str">
        <f>"460006199505158423"</f>
        <v>460006199505158423</v>
      </c>
      <c r="F647" s="7" t="str">
        <f>"海南师范大学"</f>
        <v>海南师范大学</v>
      </c>
      <c r="G647" s="7" t="str">
        <f t="shared" si="264"/>
        <v>学前教育</v>
      </c>
      <c r="H647" s="7" t="str">
        <f t="shared" si="267"/>
        <v>本科</v>
      </c>
      <c r="I647" s="7" t="str">
        <f t="shared" si="265"/>
        <v>幼儿园教师资格</v>
      </c>
    </row>
    <row r="648" customHeight="1" spans="1:9">
      <c r="A648" s="6">
        <v>646</v>
      </c>
      <c r="B648" s="7" t="s">
        <v>10</v>
      </c>
      <c r="C648" s="8" t="str">
        <f>"黄琼丽"</f>
        <v>黄琼丽</v>
      </c>
      <c r="D648" s="8" t="str">
        <f t="shared" si="254"/>
        <v>女</v>
      </c>
      <c r="E648" s="7" t="str">
        <f>"460033199205282384"</f>
        <v>460033199205282384</v>
      </c>
      <c r="F648" s="7" t="str">
        <f>"琼台师范高等专科学校"</f>
        <v>琼台师范高等专科学校</v>
      </c>
      <c r="G648" s="7" t="str">
        <f>"学期教育"</f>
        <v>学期教育</v>
      </c>
      <c r="H648" s="12" t="s">
        <v>13</v>
      </c>
      <c r="I648" s="7" t="str">
        <f t="shared" si="265"/>
        <v>幼儿园教师资格</v>
      </c>
    </row>
    <row r="649" customHeight="1" spans="1:9">
      <c r="A649" s="6">
        <v>647</v>
      </c>
      <c r="B649" s="7" t="s">
        <v>10</v>
      </c>
      <c r="C649" s="8" t="str">
        <f>"郑芳"</f>
        <v>郑芳</v>
      </c>
      <c r="D649" s="8" t="str">
        <f t="shared" si="254"/>
        <v>女</v>
      </c>
      <c r="E649" s="7" t="str">
        <f>"460025199210250045"</f>
        <v>460025199210250045</v>
      </c>
      <c r="F649" s="7" t="str">
        <f>"湖南师范大学"</f>
        <v>湖南师范大学</v>
      </c>
      <c r="G649" s="7" t="str">
        <f t="shared" ref="G649:G654" si="268">"学前教育"</f>
        <v>学前教育</v>
      </c>
      <c r="H649" s="7" t="str">
        <f t="shared" si="267"/>
        <v>本科</v>
      </c>
      <c r="I649" s="7" t="str">
        <f t="shared" si="265"/>
        <v>幼儿园教师资格</v>
      </c>
    </row>
    <row r="650" customHeight="1" spans="1:9">
      <c r="A650" s="6">
        <v>648</v>
      </c>
      <c r="B650" s="7" t="s">
        <v>11</v>
      </c>
      <c r="C650" s="8" t="str">
        <f>"钟海滨"</f>
        <v>钟海滨</v>
      </c>
      <c r="D650" s="8" t="str">
        <f t="shared" si="254"/>
        <v>女</v>
      </c>
      <c r="E650" s="7" t="str">
        <f>"460028199304297222"</f>
        <v>460028199304297222</v>
      </c>
      <c r="F650" s="7" t="str">
        <f>"琼台师范高等专科学校"</f>
        <v>琼台师范高等专科学校</v>
      </c>
      <c r="G650" s="7" t="str">
        <f t="shared" si="268"/>
        <v>学前教育</v>
      </c>
      <c r="H650" s="7" t="str">
        <f t="shared" ref="H650:H655" si="269">"专科"</f>
        <v>专科</v>
      </c>
      <c r="I650" s="7" t="str">
        <f t="shared" si="265"/>
        <v>幼儿园教师资格</v>
      </c>
    </row>
    <row r="651" customHeight="1" spans="1:9">
      <c r="A651" s="6">
        <v>649</v>
      </c>
      <c r="B651" s="7" t="s">
        <v>10</v>
      </c>
      <c r="C651" s="8" t="str">
        <f>"卢运双"</f>
        <v>卢运双</v>
      </c>
      <c r="D651" s="8" t="str">
        <f t="shared" si="254"/>
        <v>女</v>
      </c>
      <c r="E651" s="7" t="str">
        <f>"460007199407307620"</f>
        <v>460007199407307620</v>
      </c>
      <c r="F651" s="7" t="str">
        <f>"热带海洋学院"</f>
        <v>热带海洋学院</v>
      </c>
      <c r="G651" s="7" t="str">
        <f t="shared" si="268"/>
        <v>学前教育</v>
      </c>
      <c r="H651" s="7" t="str">
        <f t="shared" si="269"/>
        <v>专科</v>
      </c>
      <c r="I651" s="7" t="str">
        <f t="shared" si="265"/>
        <v>幼儿园教师资格</v>
      </c>
    </row>
    <row r="652" customHeight="1" spans="1:9">
      <c r="A652" s="6">
        <v>650</v>
      </c>
      <c r="B652" s="7" t="s">
        <v>11</v>
      </c>
      <c r="C652" s="8" t="str">
        <f>"符修珍"</f>
        <v>符修珍</v>
      </c>
      <c r="D652" s="8" t="str">
        <f t="shared" si="254"/>
        <v>女</v>
      </c>
      <c r="E652" s="7" t="str">
        <f>"460007199206030821"</f>
        <v>460007199206030821</v>
      </c>
      <c r="F652" s="7" t="str">
        <f t="shared" ref="F652:F655" si="270">"琼台师范学院"</f>
        <v>琼台师范学院</v>
      </c>
      <c r="G652" s="7" t="str">
        <f t="shared" si="268"/>
        <v>学前教育</v>
      </c>
      <c r="H652" s="7" t="str">
        <f>"专科(高职)"</f>
        <v>专科(高职)</v>
      </c>
      <c r="I652" s="7" t="str">
        <f t="shared" si="265"/>
        <v>幼儿园教师资格</v>
      </c>
    </row>
    <row r="653" customHeight="1" spans="1:9">
      <c r="A653" s="6">
        <v>651</v>
      </c>
      <c r="B653" s="7" t="s">
        <v>10</v>
      </c>
      <c r="C653" s="8" t="str">
        <f>"周艳"</f>
        <v>周艳</v>
      </c>
      <c r="D653" s="8" t="str">
        <f t="shared" si="254"/>
        <v>女</v>
      </c>
      <c r="E653" s="7" t="str">
        <f>"460006199805283445"</f>
        <v>460006199805283445</v>
      </c>
      <c r="F653" s="7" t="str">
        <f t="shared" si="270"/>
        <v>琼台师范学院</v>
      </c>
      <c r="G653" s="7" t="str">
        <f t="shared" si="268"/>
        <v>学前教育</v>
      </c>
      <c r="H653" s="7" t="str">
        <f t="shared" si="269"/>
        <v>专科</v>
      </c>
      <c r="I653" s="7" t="str">
        <f t="shared" si="265"/>
        <v>幼儿园教师资格</v>
      </c>
    </row>
    <row r="654" customHeight="1" spans="1:9">
      <c r="A654" s="6">
        <v>652</v>
      </c>
      <c r="B654" s="7" t="s">
        <v>12</v>
      </c>
      <c r="C654" s="8" t="str">
        <f>"吴春妹"</f>
        <v>吴春妹</v>
      </c>
      <c r="D654" s="8" t="str">
        <f t="shared" si="254"/>
        <v>女</v>
      </c>
      <c r="E654" s="7" t="str">
        <f>"460031199610313620"</f>
        <v>460031199610313620</v>
      </c>
      <c r="F654" s="7" t="str">
        <f t="shared" si="270"/>
        <v>琼台师范学院</v>
      </c>
      <c r="G654" s="7" t="str">
        <f t="shared" si="268"/>
        <v>学前教育</v>
      </c>
      <c r="H654" s="7" t="str">
        <f t="shared" si="269"/>
        <v>专科</v>
      </c>
      <c r="I654" s="7" t="str">
        <f t="shared" si="265"/>
        <v>幼儿园教师资格</v>
      </c>
    </row>
    <row r="655" customHeight="1" spans="1:9">
      <c r="A655" s="6">
        <v>653</v>
      </c>
      <c r="B655" s="7" t="s">
        <v>12</v>
      </c>
      <c r="C655" s="8" t="str">
        <f>"郑孟程"</f>
        <v>郑孟程</v>
      </c>
      <c r="D655" s="8" t="str">
        <f t="shared" si="254"/>
        <v>女</v>
      </c>
      <c r="E655" s="7" t="str">
        <f>"460034199305154124"</f>
        <v>460034199305154124</v>
      </c>
      <c r="F655" s="7" t="str">
        <f t="shared" si="270"/>
        <v>琼台师范学院</v>
      </c>
      <c r="G655" s="7" t="str">
        <f>"学前教育（英语方向）"</f>
        <v>学前教育（英语方向）</v>
      </c>
      <c r="H655" s="7" t="str">
        <f t="shared" si="269"/>
        <v>专科</v>
      </c>
      <c r="I655" s="7" t="str">
        <f t="shared" si="265"/>
        <v>幼儿园教师资格</v>
      </c>
    </row>
    <row r="656" customHeight="1" spans="1:9">
      <c r="A656" s="6">
        <v>654</v>
      </c>
      <c r="B656" s="7" t="s">
        <v>10</v>
      </c>
      <c r="C656" s="8" t="str">
        <f>"王妹"</f>
        <v>王妹</v>
      </c>
      <c r="D656" s="8" t="str">
        <f t="shared" si="254"/>
        <v>女</v>
      </c>
      <c r="E656" s="7" t="str">
        <f>"460028199206122824"</f>
        <v>460028199206122824</v>
      </c>
      <c r="F656" s="7" t="str">
        <f>"山西省忻州师范学院"</f>
        <v>山西省忻州师范学院</v>
      </c>
      <c r="G656" s="7" t="str">
        <f t="shared" ref="G656:G661" si="271">"学前教育"</f>
        <v>学前教育</v>
      </c>
      <c r="H656" s="7" t="str">
        <f>"本科"</f>
        <v>本科</v>
      </c>
      <c r="I656" s="7" t="str">
        <f t="shared" si="265"/>
        <v>幼儿园教师资格</v>
      </c>
    </row>
    <row r="657" customHeight="1" spans="1:9">
      <c r="A657" s="6">
        <v>655</v>
      </c>
      <c r="B657" s="7" t="s">
        <v>10</v>
      </c>
      <c r="C657" s="8" t="str">
        <f>"符吉姑"</f>
        <v>符吉姑</v>
      </c>
      <c r="D657" s="8" t="str">
        <f t="shared" si="254"/>
        <v>女</v>
      </c>
      <c r="E657" s="7" t="str">
        <f>"460007199408095367"</f>
        <v>460007199408095367</v>
      </c>
      <c r="F657" s="7" t="str">
        <f>"海南师范大学"</f>
        <v>海南师范大学</v>
      </c>
      <c r="G657" s="7" t="str">
        <f t="shared" si="271"/>
        <v>学前教育</v>
      </c>
      <c r="H657" s="7" t="str">
        <f>"本科"</f>
        <v>本科</v>
      </c>
      <c r="I657" s="7" t="str">
        <f t="shared" si="265"/>
        <v>幼儿园教师资格</v>
      </c>
    </row>
    <row r="658" customHeight="1" spans="1:9">
      <c r="A658" s="6">
        <v>656</v>
      </c>
      <c r="B658" s="7" t="s">
        <v>12</v>
      </c>
      <c r="C658" s="8" t="str">
        <f>"陈仙"</f>
        <v>陈仙</v>
      </c>
      <c r="D658" s="8" t="str">
        <f t="shared" si="254"/>
        <v>女</v>
      </c>
      <c r="E658" s="7" t="str">
        <f>"460025199012120944"</f>
        <v>460025199012120944</v>
      </c>
      <c r="F658" s="7" t="str">
        <f>"海南师范大学"</f>
        <v>海南师范大学</v>
      </c>
      <c r="G658" s="7" t="str">
        <f t="shared" si="271"/>
        <v>学前教育</v>
      </c>
      <c r="H658" s="7" t="str">
        <f t="shared" ref="H658:H661" si="272">"专科"</f>
        <v>专科</v>
      </c>
      <c r="I658" s="7" t="str">
        <f t="shared" si="265"/>
        <v>幼儿园教师资格</v>
      </c>
    </row>
    <row r="659" customHeight="1" spans="1:9">
      <c r="A659" s="6">
        <v>657</v>
      </c>
      <c r="B659" s="7" t="s">
        <v>10</v>
      </c>
      <c r="C659" s="8" t="str">
        <f>"陈燕她"</f>
        <v>陈燕她</v>
      </c>
      <c r="D659" s="8" t="str">
        <f t="shared" si="254"/>
        <v>女</v>
      </c>
      <c r="E659" s="7" t="str">
        <f>"460028199212192423"</f>
        <v>460028199212192423</v>
      </c>
      <c r="F659" s="7" t="str">
        <f>"琼台师范高等专科学校"</f>
        <v>琼台师范高等专科学校</v>
      </c>
      <c r="G659" s="7" t="str">
        <f t="shared" si="271"/>
        <v>学前教育</v>
      </c>
      <c r="H659" s="7" t="str">
        <f t="shared" si="272"/>
        <v>专科</v>
      </c>
      <c r="I659" s="7" t="str">
        <f t="shared" si="265"/>
        <v>幼儿园教师资格</v>
      </c>
    </row>
    <row r="660" customHeight="1" spans="1:9">
      <c r="A660" s="6">
        <v>658</v>
      </c>
      <c r="B660" s="7" t="s">
        <v>10</v>
      </c>
      <c r="C660" s="8" t="str">
        <f>"吴鸿爱"</f>
        <v>吴鸿爱</v>
      </c>
      <c r="D660" s="8" t="str">
        <f t="shared" si="254"/>
        <v>女</v>
      </c>
      <c r="E660" s="7" t="str">
        <f>"460031199504056827"</f>
        <v>460031199504056827</v>
      </c>
      <c r="F660" s="7" t="str">
        <f>"湖北省仙桃市仙桃职业学院"</f>
        <v>湖北省仙桃市仙桃职业学院</v>
      </c>
      <c r="G660" s="7" t="str">
        <f t="shared" si="271"/>
        <v>学前教育</v>
      </c>
      <c r="H660" s="7" t="str">
        <f t="shared" si="272"/>
        <v>专科</v>
      </c>
      <c r="I660" s="7" t="str">
        <f t="shared" si="265"/>
        <v>幼儿园教师资格</v>
      </c>
    </row>
    <row r="661" customHeight="1" spans="1:9">
      <c r="A661" s="6">
        <v>659</v>
      </c>
      <c r="B661" s="7" t="s">
        <v>10</v>
      </c>
      <c r="C661" s="8" t="str">
        <f>"符敏"</f>
        <v>符敏</v>
      </c>
      <c r="D661" s="8" t="str">
        <f t="shared" si="254"/>
        <v>女</v>
      </c>
      <c r="E661" s="7" t="str">
        <f>"46000419930911202X"</f>
        <v>46000419930911202X</v>
      </c>
      <c r="F661" s="7" t="str">
        <f>"琼台师范高等专科学校"</f>
        <v>琼台师范高等专科学校</v>
      </c>
      <c r="G661" s="7" t="str">
        <f t="shared" si="271"/>
        <v>学前教育</v>
      </c>
      <c r="H661" s="7" t="str">
        <f t="shared" si="272"/>
        <v>专科</v>
      </c>
      <c r="I661" s="7" t="str">
        <f t="shared" si="265"/>
        <v>幼儿园教师资格</v>
      </c>
    </row>
    <row r="662" customHeight="1" spans="1:9">
      <c r="A662" s="6">
        <v>660</v>
      </c>
      <c r="B662" s="7" t="s">
        <v>10</v>
      </c>
      <c r="C662" s="8" t="str">
        <f>"韩玉娇"</f>
        <v>韩玉娇</v>
      </c>
      <c r="D662" s="8" t="str">
        <f t="shared" si="254"/>
        <v>女</v>
      </c>
      <c r="E662" s="7" t="str">
        <f>"460005199703296628"</f>
        <v>460005199703296628</v>
      </c>
      <c r="F662" s="7" t="str">
        <f>"廊坊师范学院"</f>
        <v>廊坊师范学院</v>
      </c>
      <c r="G662" s="7" t="str">
        <f>"学前教育专业"</f>
        <v>学前教育专业</v>
      </c>
      <c r="H662" s="7" t="str">
        <f>"本科"</f>
        <v>本科</v>
      </c>
      <c r="I662" s="7" t="str">
        <f t="shared" si="265"/>
        <v>幼儿园教师资格</v>
      </c>
    </row>
    <row r="663" customHeight="1" spans="1:9">
      <c r="A663" s="6">
        <v>661</v>
      </c>
      <c r="B663" s="7" t="s">
        <v>10</v>
      </c>
      <c r="C663" s="8" t="str">
        <f>"曾秀娥"</f>
        <v>曾秀娥</v>
      </c>
      <c r="D663" s="8" t="str">
        <f t="shared" si="254"/>
        <v>女</v>
      </c>
      <c r="E663" s="7" t="str">
        <f>"460028199412205620"</f>
        <v>460028199412205620</v>
      </c>
      <c r="F663" s="7" t="str">
        <f>"琼台师范学院"</f>
        <v>琼台师范学院</v>
      </c>
      <c r="G663" s="7" t="str">
        <f t="shared" ref="G663:G665" si="273">"学前教育"</f>
        <v>学前教育</v>
      </c>
      <c r="H663" s="7" t="str">
        <f t="shared" ref="H663:H669" si="274">"专科"</f>
        <v>专科</v>
      </c>
      <c r="I663" s="7" t="str">
        <f t="shared" si="265"/>
        <v>幼儿园教师资格</v>
      </c>
    </row>
    <row r="664" customHeight="1" spans="1:9">
      <c r="A664" s="6">
        <v>662</v>
      </c>
      <c r="B664" s="7" t="s">
        <v>10</v>
      </c>
      <c r="C664" s="8" t="str">
        <f>"王天雪"</f>
        <v>王天雪</v>
      </c>
      <c r="D664" s="8" t="str">
        <f t="shared" si="254"/>
        <v>女</v>
      </c>
      <c r="E664" s="7" t="str">
        <f>"469006199708260020"</f>
        <v>469006199708260020</v>
      </c>
      <c r="F664" s="7" t="str">
        <f>"琼台师范学院"</f>
        <v>琼台师范学院</v>
      </c>
      <c r="G664" s="7" t="str">
        <f t="shared" si="273"/>
        <v>学前教育</v>
      </c>
      <c r="H664" s="7" t="str">
        <f t="shared" si="274"/>
        <v>专科</v>
      </c>
      <c r="I664" s="7" t="str">
        <f t="shared" si="265"/>
        <v>幼儿园教师资格</v>
      </c>
    </row>
    <row r="665" customHeight="1" spans="1:9">
      <c r="A665" s="6">
        <v>663</v>
      </c>
      <c r="B665" s="7" t="s">
        <v>12</v>
      </c>
      <c r="C665" s="8" t="str">
        <f>"张晓妮"</f>
        <v>张晓妮</v>
      </c>
      <c r="D665" s="8" t="str">
        <f t="shared" si="254"/>
        <v>女</v>
      </c>
      <c r="E665" s="7" t="str">
        <f>"460003199607200427"</f>
        <v>460003199607200427</v>
      </c>
      <c r="F665" s="7" t="str">
        <f>"海南师范大学"</f>
        <v>海南师范大学</v>
      </c>
      <c r="G665" s="7" t="str">
        <f t="shared" si="273"/>
        <v>学前教育</v>
      </c>
      <c r="H665" s="7" t="str">
        <f t="shared" si="274"/>
        <v>专科</v>
      </c>
      <c r="I665" s="7" t="str">
        <f t="shared" si="265"/>
        <v>幼儿园教师资格</v>
      </c>
    </row>
    <row r="666" customHeight="1" spans="1:9">
      <c r="A666" s="6">
        <v>664</v>
      </c>
      <c r="B666" s="7" t="s">
        <v>11</v>
      </c>
      <c r="C666" s="8" t="str">
        <f>"万伟芬"</f>
        <v>万伟芬</v>
      </c>
      <c r="D666" s="8" t="str">
        <f t="shared" si="254"/>
        <v>女</v>
      </c>
      <c r="E666" s="7" t="str">
        <f>"460003199005124666"</f>
        <v>460003199005124666</v>
      </c>
      <c r="F666" s="7" t="str">
        <f>"琼台师范高等专科学校"</f>
        <v>琼台师范高等专科学校</v>
      </c>
      <c r="G666" s="7" t="str">
        <f>"学前教育（英语方向）"</f>
        <v>学前教育（英语方向）</v>
      </c>
      <c r="H666" s="7" t="str">
        <f t="shared" si="274"/>
        <v>专科</v>
      </c>
      <c r="I666" s="7" t="str">
        <f t="shared" si="265"/>
        <v>幼儿园教师资格</v>
      </c>
    </row>
    <row r="667" customHeight="1" spans="1:9">
      <c r="A667" s="6">
        <v>665</v>
      </c>
      <c r="B667" s="7" t="s">
        <v>10</v>
      </c>
      <c r="C667" s="8" t="str">
        <f>"梁娜"</f>
        <v>梁娜</v>
      </c>
      <c r="D667" s="8" t="str">
        <f t="shared" si="254"/>
        <v>女</v>
      </c>
      <c r="E667" s="7" t="str">
        <f>"460002199105170823"</f>
        <v>460002199105170823</v>
      </c>
      <c r="F667" s="7" t="str">
        <f>"海南师范大学"</f>
        <v>海南师范大学</v>
      </c>
      <c r="G667" s="7" t="str">
        <f t="shared" ref="G667:G675" si="275">"学前教育"</f>
        <v>学前教育</v>
      </c>
      <c r="H667" s="7" t="str">
        <f t="shared" si="274"/>
        <v>专科</v>
      </c>
      <c r="I667" s="7" t="str">
        <f t="shared" si="265"/>
        <v>幼儿园教师资格</v>
      </c>
    </row>
    <row r="668" customHeight="1" spans="1:9">
      <c r="A668" s="6">
        <v>666</v>
      </c>
      <c r="B668" s="7" t="s">
        <v>11</v>
      </c>
      <c r="C668" s="8" t="str">
        <f>"陈苏盈"</f>
        <v>陈苏盈</v>
      </c>
      <c r="D668" s="8" t="str">
        <f t="shared" si="254"/>
        <v>女</v>
      </c>
      <c r="E668" s="7" t="str">
        <f>"460027199506250426"</f>
        <v>460027199506250426</v>
      </c>
      <c r="F668" s="7" t="str">
        <f>"海南琼台师范学院"</f>
        <v>海南琼台师范学院</v>
      </c>
      <c r="G668" s="7" t="str">
        <f t="shared" si="275"/>
        <v>学前教育</v>
      </c>
      <c r="H668" s="7" t="str">
        <f t="shared" si="274"/>
        <v>专科</v>
      </c>
      <c r="I668" s="7" t="str">
        <f t="shared" si="265"/>
        <v>幼儿园教师资格</v>
      </c>
    </row>
    <row r="669" customHeight="1" spans="1:9">
      <c r="A669" s="6">
        <v>667</v>
      </c>
      <c r="B669" s="7" t="s">
        <v>10</v>
      </c>
      <c r="C669" s="8" t="str">
        <f>"孙紫雲"</f>
        <v>孙紫雲</v>
      </c>
      <c r="D669" s="8" t="str">
        <f t="shared" si="254"/>
        <v>女</v>
      </c>
      <c r="E669" s="7" t="str">
        <f>"460028199610201620"</f>
        <v>460028199610201620</v>
      </c>
      <c r="F669" s="7" t="str">
        <f>"琼台师范学院"</f>
        <v>琼台师范学院</v>
      </c>
      <c r="G669" s="7" t="str">
        <f t="shared" si="275"/>
        <v>学前教育</v>
      </c>
      <c r="H669" s="7" t="str">
        <f t="shared" si="274"/>
        <v>专科</v>
      </c>
      <c r="I669" s="7" t="str">
        <f t="shared" si="265"/>
        <v>幼儿园教师资格</v>
      </c>
    </row>
    <row r="670" customHeight="1" spans="1:9">
      <c r="A670" s="6">
        <v>668</v>
      </c>
      <c r="B670" s="7" t="s">
        <v>10</v>
      </c>
      <c r="C670" s="8" t="str">
        <f>"郭琤瑜"</f>
        <v>郭琤瑜</v>
      </c>
      <c r="D670" s="8" t="str">
        <f t="shared" si="254"/>
        <v>女</v>
      </c>
      <c r="E670" s="7" t="str">
        <f>"460103199504201529"</f>
        <v>460103199504201529</v>
      </c>
      <c r="F670" s="7" t="str">
        <f>"商洛学院"</f>
        <v>商洛学院</v>
      </c>
      <c r="G670" s="7" t="str">
        <f t="shared" si="275"/>
        <v>学前教育</v>
      </c>
      <c r="H670" s="7" t="str">
        <f>"本科"</f>
        <v>本科</v>
      </c>
      <c r="I670" s="7" t="str">
        <f t="shared" si="265"/>
        <v>幼儿园教师资格</v>
      </c>
    </row>
    <row r="671" customHeight="1" spans="1:9">
      <c r="A671" s="6">
        <v>669</v>
      </c>
      <c r="B671" s="7" t="s">
        <v>11</v>
      </c>
      <c r="C671" s="8" t="str">
        <f>"张燕青"</f>
        <v>张燕青</v>
      </c>
      <c r="D671" s="8" t="str">
        <f t="shared" si="254"/>
        <v>女</v>
      </c>
      <c r="E671" s="7" t="str">
        <f>"460007199403290024"</f>
        <v>460007199403290024</v>
      </c>
      <c r="F671" s="7" t="str">
        <f>"琼台师范高等专科学院"</f>
        <v>琼台师范高等专科学院</v>
      </c>
      <c r="G671" s="7" t="str">
        <f t="shared" si="275"/>
        <v>学前教育</v>
      </c>
      <c r="H671" s="7" t="str">
        <f t="shared" ref="H671:H673" si="276">"专科"</f>
        <v>专科</v>
      </c>
      <c r="I671" s="7" t="str">
        <f t="shared" si="265"/>
        <v>幼儿园教师资格</v>
      </c>
    </row>
    <row r="672" customHeight="1" spans="1:9">
      <c r="A672" s="6">
        <v>670</v>
      </c>
      <c r="B672" s="7" t="s">
        <v>10</v>
      </c>
      <c r="C672" s="8" t="str">
        <f>"麦孟娟"</f>
        <v>麦孟娟</v>
      </c>
      <c r="D672" s="8" t="str">
        <f t="shared" si="254"/>
        <v>女</v>
      </c>
      <c r="E672" s="7" t="str">
        <f>"460003199602222627"</f>
        <v>460003199602222627</v>
      </c>
      <c r="F672" s="7" t="str">
        <f>"江西萍乡学院"</f>
        <v>江西萍乡学院</v>
      </c>
      <c r="G672" s="7" t="str">
        <f t="shared" si="275"/>
        <v>学前教育</v>
      </c>
      <c r="H672" s="7" t="str">
        <f t="shared" si="276"/>
        <v>专科</v>
      </c>
      <c r="I672" s="7" t="str">
        <f t="shared" si="265"/>
        <v>幼儿园教师资格</v>
      </c>
    </row>
    <row r="673" customHeight="1" spans="1:9">
      <c r="A673" s="6">
        <v>671</v>
      </c>
      <c r="B673" s="7" t="s">
        <v>10</v>
      </c>
      <c r="C673" s="8" t="str">
        <f>"李吉文"</f>
        <v>李吉文</v>
      </c>
      <c r="D673" s="8" t="str">
        <f t="shared" si="254"/>
        <v>女</v>
      </c>
      <c r="E673" s="7" t="str">
        <f>"46000319920608666X"</f>
        <v>46000319920608666X</v>
      </c>
      <c r="F673" s="7" t="str">
        <f>"海南热带海洋学院"</f>
        <v>海南热带海洋学院</v>
      </c>
      <c r="G673" s="7" t="str">
        <f t="shared" si="275"/>
        <v>学前教育</v>
      </c>
      <c r="H673" s="7" t="str">
        <f t="shared" si="276"/>
        <v>专科</v>
      </c>
      <c r="I673" s="7" t="str">
        <f t="shared" si="265"/>
        <v>幼儿园教师资格</v>
      </c>
    </row>
    <row r="674" customHeight="1" spans="1:9">
      <c r="A674" s="6">
        <v>672</v>
      </c>
      <c r="B674" s="7" t="s">
        <v>10</v>
      </c>
      <c r="C674" s="8" t="str">
        <f>"李雪秋"</f>
        <v>李雪秋</v>
      </c>
      <c r="D674" s="8" t="str">
        <f t="shared" si="254"/>
        <v>女</v>
      </c>
      <c r="E674" s="7" t="str">
        <f>"460104199502100042"</f>
        <v>460104199502100042</v>
      </c>
      <c r="F674" s="7" t="str">
        <f>"衡水学院"</f>
        <v>衡水学院</v>
      </c>
      <c r="G674" s="7" t="str">
        <f t="shared" si="275"/>
        <v>学前教育</v>
      </c>
      <c r="H674" s="7" t="str">
        <f>"本科"</f>
        <v>本科</v>
      </c>
      <c r="I674" s="7" t="str">
        <f t="shared" si="265"/>
        <v>幼儿园教师资格</v>
      </c>
    </row>
    <row r="675" customHeight="1" spans="1:9">
      <c r="A675" s="6">
        <v>673</v>
      </c>
      <c r="B675" s="7" t="s">
        <v>11</v>
      </c>
      <c r="C675" s="8" t="str">
        <f>"李爱虹"</f>
        <v>李爱虹</v>
      </c>
      <c r="D675" s="8" t="str">
        <f t="shared" si="254"/>
        <v>女</v>
      </c>
      <c r="E675" s="7" t="str">
        <f>"460003199702232224"</f>
        <v>460003199702232224</v>
      </c>
      <c r="F675" s="7" t="str">
        <f>"海南热带海洋学院"</f>
        <v>海南热带海洋学院</v>
      </c>
      <c r="G675" s="7" t="str">
        <f t="shared" si="275"/>
        <v>学前教育</v>
      </c>
      <c r="H675" s="7" t="str">
        <f t="shared" ref="H675:H677" si="277">"专科"</f>
        <v>专科</v>
      </c>
      <c r="I675" s="7" t="str">
        <f t="shared" si="265"/>
        <v>幼儿园教师资格</v>
      </c>
    </row>
    <row r="676" customHeight="1" spans="1:9">
      <c r="A676" s="6">
        <v>674</v>
      </c>
      <c r="B676" s="7" t="s">
        <v>12</v>
      </c>
      <c r="C676" s="8" t="str">
        <f>"吴亚瑞"</f>
        <v>吴亚瑞</v>
      </c>
      <c r="D676" s="8" t="str">
        <f t="shared" si="254"/>
        <v>女</v>
      </c>
      <c r="E676" s="7" t="str">
        <f>"460004199603211221"</f>
        <v>460004199603211221</v>
      </c>
      <c r="F676" s="7" t="str">
        <f t="shared" ref="F676:F681" si="278">"琼台师范学院"</f>
        <v>琼台师范学院</v>
      </c>
      <c r="G676" s="7" t="str">
        <f>"学前教育英语方向专业"</f>
        <v>学前教育英语方向专业</v>
      </c>
      <c r="H676" s="7" t="str">
        <f t="shared" si="277"/>
        <v>专科</v>
      </c>
      <c r="I676" s="7" t="str">
        <f t="shared" si="265"/>
        <v>幼儿园教师资格</v>
      </c>
    </row>
    <row r="677" customHeight="1" spans="1:9">
      <c r="A677" s="6">
        <v>675</v>
      </c>
      <c r="B677" s="7" t="s">
        <v>11</v>
      </c>
      <c r="C677" s="8" t="str">
        <f>"羊高颖"</f>
        <v>羊高颖</v>
      </c>
      <c r="D677" s="8" t="str">
        <f t="shared" si="254"/>
        <v>女</v>
      </c>
      <c r="E677" s="7" t="str">
        <f>"469003199803195045"</f>
        <v>469003199803195045</v>
      </c>
      <c r="F677" s="7" t="str">
        <f>"鹤岗师范高等专科学校"</f>
        <v>鹤岗师范高等专科学校</v>
      </c>
      <c r="G677" s="7" t="str">
        <f t="shared" ref="G677:G683" si="279">"学前教育"</f>
        <v>学前教育</v>
      </c>
      <c r="H677" s="7" t="str">
        <f t="shared" si="277"/>
        <v>专科</v>
      </c>
      <c r="I677" s="7" t="str">
        <f t="shared" si="265"/>
        <v>幼儿园教师资格</v>
      </c>
    </row>
    <row r="678" customHeight="1" spans="1:9">
      <c r="A678" s="6">
        <v>676</v>
      </c>
      <c r="B678" s="7" t="s">
        <v>10</v>
      </c>
      <c r="C678" s="8" t="str">
        <f>"陈静"</f>
        <v>陈静</v>
      </c>
      <c r="D678" s="8" t="str">
        <f t="shared" si="254"/>
        <v>女</v>
      </c>
      <c r="E678" s="7" t="str">
        <f>"460031199606306022"</f>
        <v>460031199606306022</v>
      </c>
      <c r="F678" s="7" t="str">
        <f>"海南省海口市琼台师范学院"</f>
        <v>海南省海口市琼台师范学院</v>
      </c>
      <c r="G678" s="7" t="str">
        <f t="shared" si="279"/>
        <v>学前教育</v>
      </c>
      <c r="H678" s="7" t="str">
        <f>"专科(高职)"</f>
        <v>专科(高职)</v>
      </c>
      <c r="I678" s="7" t="str">
        <f t="shared" si="265"/>
        <v>幼儿园教师资格</v>
      </c>
    </row>
    <row r="679" customHeight="1" spans="1:9">
      <c r="A679" s="6">
        <v>677</v>
      </c>
      <c r="B679" s="7" t="s">
        <v>11</v>
      </c>
      <c r="C679" s="8" t="str">
        <f>"云颖"</f>
        <v>云颖</v>
      </c>
      <c r="D679" s="8" t="str">
        <f t="shared" si="254"/>
        <v>女</v>
      </c>
      <c r="E679" s="7" t="str">
        <f>"460022199611274321"</f>
        <v>460022199611274321</v>
      </c>
      <c r="F679" s="7" t="str">
        <f t="shared" si="278"/>
        <v>琼台师范学院</v>
      </c>
      <c r="G679" s="7" t="str">
        <f t="shared" si="279"/>
        <v>学前教育</v>
      </c>
      <c r="H679" s="7" t="str">
        <f t="shared" ref="H679:H681" si="280">"专科"</f>
        <v>专科</v>
      </c>
      <c r="I679" s="7" t="str">
        <f t="shared" si="265"/>
        <v>幼儿园教师资格</v>
      </c>
    </row>
    <row r="680" customHeight="1" spans="1:9">
      <c r="A680" s="6">
        <v>678</v>
      </c>
      <c r="B680" s="7" t="s">
        <v>11</v>
      </c>
      <c r="C680" s="8" t="str">
        <f>"李娉婷"</f>
        <v>李娉婷</v>
      </c>
      <c r="D680" s="8" t="str">
        <f t="shared" ref="D680:D683" si="281">"女"</f>
        <v>女</v>
      </c>
      <c r="E680" s="7" t="str">
        <f>"460006199805030229"</f>
        <v>460006199805030229</v>
      </c>
      <c r="F680" s="7" t="str">
        <f t="shared" si="278"/>
        <v>琼台师范学院</v>
      </c>
      <c r="G680" s="7" t="str">
        <f t="shared" si="279"/>
        <v>学前教育</v>
      </c>
      <c r="H680" s="7" t="str">
        <f t="shared" si="280"/>
        <v>专科</v>
      </c>
      <c r="I680" s="7" t="str">
        <f t="shared" si="265"/>
        <v>幼儿园教师资格</v>
      </c>
    </row>
    <row r="681" customHeight="1" spans="1:9">
      <c r="A681" s="6">
        <v>679</v>
      </c>
      <c r="B681" s="7" t="s">
        <v>10</v>
      </c>
      <c r="C681" s="8" t="str">
        <f>"陈雅"</f>
        <v>陈雅</v>
      </c>
      <c r="D681" s="8" t="str">
        <f t="shared" si="281"/>
        <v>女</v>
      </c>
      <c r="E681" s="7" t="str">
        <f>"460026199506081523"</f>
        <v>460026199506081523</v>
      </c>
      <c r="F681" s="7" t="str">
        <f t="shared" si="278"/>
        <v>琼台师范学院</v>
      </c>
      <c r="G681" s="7" t="str">
        <f t="shared" si="279"/>
        <v>学前教育</v>
      </c>
      <c r="H681" s="7" t="str">
        <f t="shared" si="280"/>
        <v>专科</v>
      </c>
      <c r="I681" s="7" t="str">
        <f t="shared" si="265"/>
        <v>幼儿园教师资格</v>
      </c>
    </row>
    <row r="682" customHeight="1" spans="1:9">
      <c r="A682" s="6">
        <v>680</v>
      </c>
      <c r="B682" s="7" t="s">
        <v>10</v>
      </c>
      <c r="C682" s="8" t="str">
        <f>"黄冠丹"</f>
        <v>黄冠丹</v>
      </c>
      <c r="D682" s="8" t="str">
        <f t="shared" si="281"/>
        <v>女</v>
      </c>
      <c r="E682" s="7" t="str">
        <f>"460003199409144268"</f>
        <v>460003199409144268</v>
      </c>
      <c r="F682" s="7" t="str">
        <f>"江苏师范大学"</f>
        <v>江苏师范大学</v>
      </c>
      <c r="G682" s="7" t="str">
        <f t="shared" si="279"/>
        <v>学前教育</v>
      </c>
      <c r="H682" s="7" t="str">
        <f t="shared" ref="H682:H686" si="282">"本科"</f>
        <v>本科</v>
      </c>
      <c r="I682" s="7" t="str">
        <f t="shared" si="265"/>
        <v>幼儿园教师资格</v>
      </c>
    </row>
    <row r="683" customHeight="1" spans="1:9">
      <c r="A683" s="6">
        <v>681</v>
      </c>
      <c r="B683" s="7" t="s">
        <v>11</v>
      </c>
      <c r="C683" s="8" t="str">
        <f>"严小静"</f>
        <v>严小静</v>
      </c>
      <c r="D683" s="8" t="str">
        <f t="shared" si="281"/>
        <v>女</v>
      </c>
      <c r="E683" s="7" t="str">
        <f>"46000619931228022X"</f>
        <v>46000619931228022X</v>
      </c>
      <c r="F683" s="7" t="str">
        <f t="shared" ref="F683:F688" si="283">"琼台师范学院"</f>
        <v>琼台师范学院</v>
      </c>
      <c r="G683" s="7" t="str">
        <f t="shared" si="279"/>
        <v>学前教育</v>
      </c>
      <c r="H683" s="7" t="str">
        <f t="shared" ref="H683:H688" si="284">"专科"</f>
        <v>专科</v>
      </c>
      <c r="I683" s="7" t="str">
        <f t="shared" si="265"/>
        <v>幼儿园教师资格</v>
      </c>
    </row>
    <row r="684" customHeight="1" spans="1:9">
      <c r="A684" s="6">
        <v>682</v>
      </c>
      <c r="B684" s="7" t="s">
        <v>11</v>
      </c>
      <c r="C684" s="8" t="str">
        <f>"王咸机"</f>
        <v>王咸机</v>
      </c>
      <c r="D684" s="8" t="str">
        <f>"男"</f>
        <v>男</v>
      </c>
      <c r="E684" s="7" t="str">
        <f>"460027199405022010"</f>
        <v>460027199405022010</v>
      </c>
      <c r="F684" s="7" t="str">
        <f>"吉林师范大学博达学院"</f>
        <v>吉林师范大学博达学院</v>
      </c>
      <c r="G684" s="7" t="str">
        <f>"学前教育专业"</f>
        <v>学前教育专业</v>
      </c>
      <c r="H684" s="7" t="str">
        <f t="shared" si="282"/>
        <v>本科</v>
      </c>
      <c r="I684" s="7" t="str">
        <f t="shared" si="265"/>
        <v>幼儿园教师资格</v>
      </c>
    </row>
    <row r="685" customHeight="1" spans="1:9">
      <c r="A685" s="6">
        <v>683</v>
      </c>
      <c r="B685" s="7" t="s">
        <v>10</v>
      </c>
      <c r="C685" s="8" t="str">
        <f>"王容"</f>
        <v>王容</v>
      </c>
      <c r="D685" s="8" t="str">
        <f t="shared" ref="D685:D748" si="285">"女"</f>
        <v>女</v>
      </c>
      <c r="E685" s="7" t="str">
        <f>"460027199602111346"</f>
        <v>460027199602111346</v>
      </c>
      <c r="F685" s="7" t="str">
        <f t="shared" si="283"/>
        <v>琼台师范学院</v>
      </c>
      <c r="G685" s="7" t="str">
        <f>"学前教育专业"</f>
        <v>学前教育专业</v>
      </c>
      <c r="H685" s="7" t="str">
        <f>"专科(高职)"</f>
        <v>专科(高职)</v>
      </c>
      <c r="I685" s="7" t="str">
        <f t="shared" si="265"/>
        <v>幼儿园教师资格</v>
      </c>
    </row>
    <row r="686" customHeight="1" spans="1:9">
      <c r="A686" s="6">
        <v>684</v>
      </c>
      <c r="B686" s="7" t="s">
        <v>11</v>
      </c>
      <c r="C686" s="8" t="str">
        <f>"张靖涵"</f>
        <v>张靖涵</v>
      </c>
      <c r="D686" s="8" t="str">
        <f t="shared" si="285"/>
        <v>女</v>
      </c>
      <c r="E686" s="7" t="str">
        <f>"239005199406030220"</f>
        <v>239005199406030220</v>
      </c>
      <c r="F686" s="7" t="str">
        <f>"绥化学院"</f>
        <v>绥化学院</v>
      </c>
      <c r="G686" s="7" t="str">
        <f t="shared" ref="G686:G698" si="286">"学前教育"</f>
        <v>学前教育</v>
      </c>
      <c r="H686" s="7" t="str">
        <f t="shared" si="282"/>
        <v>本科</v>
      </c>
      <c r="I686" s="7" t="str">
        <f t="shared" si="265"/>
        <v>幼儿园教师资格</v>
      </c>
    </row>
    <row r="687" customHeight="1" spans="1:9">
      <c r="A687" s="6">
        <v>685</v>
      </c>
      <c r="B687" s="7" t="s">
        <v>10</v>
      </c>
      <c r="C687" s="8" t="str">
        <f>"郑海玲"</f>
        <v>郑海玲</v>
      </c>
      <c r="D687" s="8" t="str">
        <f t="shared" si="285"/>
        <v>女</v>
      </c>
      <c r="E687" s="7" t="str">
        <f>"440923199608226363"</f>
        <v>440923199608226363</v>
      </c>
      <c r="F687" s="7" t="str">
        <f>"肇庆学院"</f>
        <v>肇庆学院</v>
      </c>
      <c r="G687" s="7" t="str">
        <f t="shared" si="286"/>
        <v>学前教育</v>
      </c>
      <c r="H687" s="7" t="str">
        <f t="shared" si="284"/>
        <v>专科</v>
      </c>
      <c r="I687" s="7" t="str">
        <f t="shared" si="265"/>
        <v>幼儿园教师资格</v>
      </c>
    </row>
    <row r="688" customHeight="1" spans="1:9">
      <c r="A688" s="6">
        <v>686</v>
      </c>
      <c r="B688" s="7" t="s">
        <v>11</v>
      </c>
      <c r="C688" s="8" t="str">
        <f>"陈丽珏"</f>
        <v>陈丽珏</v>
      </c>
      <c r="D688" s="8" t="str">
        <f t="shared" si="285"/>
        <v>女</v>
      </c>
      <c r="E688" s="7" t="str">
        <f>"460004199707014441"</f>
        <v>460004199707014441</v>
      </c>
      <c r="F688" s="7" t="str">
        <f t="shared" si="283"/>
        <v>琼台师范学院</v>
      </c>
      <c r="G688" s="7" t="str">
        <f t="shared" si="286"/>
        <v>学前教育</v>
      </c>
      <c r="H688" s="7" t="str">
        <f t="shared" si="284"/>
        <v>专科</v>
      </c>
      <c r="I688" s="7" t="str">
        <f t="shared" si="265"/>
        <v>幼儿园教师资格</v>
      </c>
    </row>
    <row r="689" customHeight="1" spans="1:9">
      <c r="A689" s="6">
        <v>687</v>
      </c>
      <c r="B689" s="7" t="s">
        <v>12</v>
      </c>
      <c r="C689" s="8" t="str">
        <f>"周声芳"</f>
        <v>周声芳</v>
      </c>
      <c r="D689" s="8" t="str">
        <f t="shared" si="285"/>
        <v>女</v>
      </c>
      <c r="E689" s="7" t="str">
        <f>"46000419950823082X"</f>
        <v>46000419950823082X</v>
      </c>
      <c r="F689" s="7" t="str">
        <f>"海南师范大学"</f>
        <v>海南师范大学</v>
      </c>
      <c r="G689" s="7" t="str">
        <f t="shared" si="286"/>
        <v>学前教育</v>
      </c>
      <c r="H689" s="7" t="str">
        <f>"本科"</f>
        <v>本科</v>
      </c>
      <c r="I689" s="7" t="str">
        <f t="shared" si="265"/>
        <v>幼儿园教师资格</v>
      </c>
    </row>
    <row r="690" customHeight="1" spans="1:9">
      <c r="A690" s="6">
        <v>688</v>
      </c>
      <c r="B690" s="7" t="s">
        <v>10</v>
      </c>
      <c r="C690" s="8" t="str">
        <f>"符淑连"</f>
        <v>符淑连</v>
      </c>
      <c r="D690" s="8" t="str">
        <f t="shared" si="285"/>
        <v>女</v>
      </c>
      <c r="E690" s="7" t="str">
        <f>"460003198912182427"</f>
        <v>460003198912182427</v>
      </c>
      <c r="F690" s="7" t="str">
        <f>"琼台师范高等专科学校"</f>
        <v>琼台师范高等专科学校</v>
      </c>
      <c r="G690" s="7" t="str">
        <f t="shared" si="286"/>
        <v>学前教育</v>
      </c>
      <c r="H690" s="7" t="str">
        <f t="shared" ref="H690:H692" si="287">"专科"</f>
        <v>专科</v>
      </c>
      <c r="I690" s="7" t="str">
        <f t="shared" si="265"/>
        <v>幼儿园教师资格</v>
      </c>
    </row>
    <row r="691" customHeight="1" spans="1:9">
      <c r="A691" s="6">
        <v>689</v>
      </c>
      <c r="B691" s="7" t="s">
        <v>12</v>
      </c>
      <c r="C691" s="8" t="str">
        <f>"韩晓芳"</f>
        <v>韩晓芳</v>
      </c>
      <c r="D691" s="8" t="str">
        <f t="shared" si="285"/>
        <v>女</v>
      </c>
      <c r="E691" s="7" t="str">
        <f>"46000419941106006X"</f>
        <v>46000419941106006X</v>
      </c>
      <c r="F691" s="7" t="str">
        <f>"琼台师范学院"</f>
        <v>琼台师范学院</v>
      </c>
      <c r="G691" s="7" t="str">
        <f t="shared" si="286"/>
        <v>学前教育</v>
      </c>
      <c r="H691" s="7" t="str">
        <f t="shared" si="287"/>
        <v>专科</v>
      </c>
      <c r="I691" s="7" t="str">
        <f t="shared" si="265"/>
        <v>幼儿园教师资格</v>
      </c>
    </row>
    <row r="692" customHeight="1" spans="1:9">
      <c r="A692" s="6">
        <v>690</v>
      </c>
      <c r="B692" s="7" t="s">
        <v>12</v>
      </c>
      <c r="C692" s="8" t="str">
        <f>"王俏莎"</f>
        <v>王俏莎</v>
      </c>
      <c r="D692" s="8" t="str">
        <f t="shared" si="285"/>
        <v>女</v>
      </c>
      <c r="E692" s="7" t="str">
        <f>"46003619930804752X"</f>
        <v>46003619930804752X</v>
      </c>
      <c r="F692" s="7" t="str">
        <f>"海南热带海洋学院"</f>
        <v>海南热带海洋学院</v>
      </c>
      <c r="G692" s="7" t="str">
        <f t="shared" si="286"/>
        <v>学前教育</v>
      </c>
      <c r="H692" s="7" t="str">
        <f t="shared" si="287"/>
        <v>专科</v>
      </c>
      <c r="I692" s="7" t="str">
        <f t="shared" si="265"/>
        <v>幼儿园教师资格</v>
      </c>
    </row>
    <row r="693" customHeight="1" spans="1:9">
      <c r="A693" s="6">
        <v>691</v>
      </c>
      <c r="B693" s="7" t="s">
        <v>11</v>
      </c>
      <c r="C693" s="8" t="str">
        <f>"欧丽丽 "</f>
        <v>欧丽丽 </v>
      </c>
      <c r="D693" s="8" t="str">
        <f t="shared" si="285"/>
        <v>女</v>
      </c>
      <c r="E693" s="7" t="str">
        <f>"460003199609144027"</f>
        <v>460003199609144027</v>
      </c>
      <c r="F693" s="7" t="str">
        <f>"平顶山学院"</f>
        <v>平顶山学院</v>
      </c>
      <c r="G693" s="7" t="str">
        <f t="shared" si="286"/>
        <v>学前教育</v>
      </c>
      <c r="H693" s="7" t="str">
        <f>"本科"</f>
        <v>本科</v>
      </c>
      <c r="I693" s="7" t="str">
        <f t="shared" si="265"/>
        <v>幼儿园教师资格</v>
      </c>
    </row>
    <row r="694" customHeight="1" spans="1:9">
      <c r="A694" s="6">
        <v>692</v>
      </c>
      <c r="B694" s="7" t="s">
        <v>11</v>
      </c>
      <c r="C694" s="8" t="str">
        <f>"陈钟玲"</f>
        <v>陈钟玲</v>
      </c>
      <c r="D694" s="8" t="str">
        <f t="shared" si="285"/>
        <v>女</v>
      </c>
      <c r="E694" s="7" t="str">
        <f>"460006199701024422"</f>
        <v>460006199701024422</v>
      </c>
      <c r="F694" s="7" t="str">
        <f>"海南热带海洋学院"</f>
        <v>海南热带海洋学院</v>
      </c>
      <c r="G694" s="7" t="str">
        <f t="shared" si="286"/>
        <v>学前教育</v>
      </c>
      <c r="H694" s="7" t="str">
        <f t="shared" ref="H694:H701" si="288">"专科"</f>
        <v>专科</v>
      </c>
      <c r="I694" s="7" t="str">
        <f t="shared" si="265"/>
        <v>幼儿园教师资格</v>
      </c>
    </row>
    <row r="695" customHeight="1" spans="1:9">
      <c r="A695" s="6">
        <v>693</v>
      </c>
      <c r="B695" s="7" t="s">
        <v>10</v>
      </c>
      <c r="C695" s="8" t="str">
        <f>"符丽琪"</f>
        <v>符丽琪</v>
      </c>
      <c r="D695" s="8" t="str">
        <f t="shared" si="285"/>
        <v>女</v>
      </c>
      <c r="E695" s="7" t="str">
        <f>"460007199707070020"</f>
        <v>460007199707070020</v>
      </c>
      <c r="F695" s="7" t="str">
        <f>"贵州师范大学求是学院"</f>
        <v>贵州师范大学求是学院</v>
      </c>
      <c r="G695" s="7" t="str">
        <f t="shared" si="286"/>
        <v>学前教育</v>
      </c>
      <c r="H695" s="7" t="str">
        <f>"本科"</f>
        <v>本科</v>
      </c>
      <c r="I695" s="7" t="str">
        <f t="shared" si="265"/>
        <v>幼儿园教师资格</v>
      </c>
    </row>
    <row r="696" customHeight="1" spans="1:9">
      <c r="A696" s="6">
        <v>694</v>
      </c>
      <c r="B696" s="7" t="s">
        <v>12</v>
      </c>
      <c r="C696" s="8" t="str">
        <f>"邓碧云"</f>
        <v>邓碧云</v>
      </c>
      <c r="D696" s="8" t="str">
        <f t="shared" si="285"/>
        <v>女</v>
      </c>
      <c r="E696" s="7" t="str">
        <f>"460025199405123388"</f>
        <v>460025199405123388</v>
      </c>
      <c r="F696" s="7" t="str">
        <f t="shared" ref="F696:F700" si="289">"琼台师范学院"</f>
        <v>琼台师范学院</v>
      </c>
      <c r="G696" s="7" t="str">
        <f t="shared" si="286"/>
        <v>学前教育</v>
      </c>
      <c r="H696" s="7" t="str">
        <f t="shared" si="288"/>
        <v>专科</v>
      </c>
      <c r="I696" s="7" t="str">
        <f t="shared" si="265"/>
        <v>幼儿园教师资格</v>
      </c>
    </row>
    <row r="697" customHeight="1" spans="1:9">
      <c r="A697" s="6">
        <v>695</v>
      </c>
      <c r="B697" s="7" t="s">
        <v>10</v>
      </c>
      <c r="C697" s="8" t="str">
        <f>"蒲芬"</f>
        <v>蒲芬</v>
      </c>
      <c r="D697" s="8" t="str">
        <f t="shared" si="285"/>
        <v>女</v>
      </c>
      <c r="E697" s="7" t="str">
        <f>"460300199511060068"</f>
        <v>460300199511060068</v>
      </c>
      <c r="F697" s="7" t="str">
        <f>"湖北省荆楚理工学院"</f>
        <v>湖北省荆楚理工学院</v>
      </c>
      <c r="G697" s="7" t="str">
        <f t="shared" si="286"/>
        <v>学前教育</v>
      </c>
      <c r="H697" s="7" t="str">
        <f t="shared" si="288"/>
        <v>专科</v>
      </c>
      <c r="I697" s="7" t="str">
        <f t="shared" si="265"/>
        <v>幼儿园教师资格</v>
      </c>
    </row>
    <row r="698" customHeight="1" spans="1:9">
      <c r="A698" s="6">
        <v>696</v>
      </c>
      <c r="B698" s="7" t="s">
        <v>11</v>
      </c>
      <c r="C698" s="8" t="str">
        <f>"李丽"</f>
        <v>李丽</v>
      </c>
      <c r="D698" s="8" t="str">
        <f t="shared" si="285"/>
        <v>女</v>
      </c>
      <c r="E698" s="7" t="str">
        <f>"460006199508272344"</f>
        <v>460006199508272344</v>
      </c>
      <c r="F698" s="7" t="str">
        <f t="shared" si="289"/>
        <v>琼台师范学院</v>
      </c>
      <c r="G698" s="7" t="str">
        <f t="shared" si="286"/>
        <v>学前教育</v>
      </c>
      <c r="H698" s="7" t="str">
        <f t="shared" si="288"/>
        <v>专科</v>
      </c>
      <c r="I698" s="7" t="str">
        <f t="shared" si="265"/>
        <v>幼儿园教师资格</v>
      </c>
    </row>
    <row r="699" customHeight="1" spans="1:9">
      <c r="A699" s="6">
        <v>697</v>
      </c>
      <c r="B699" s="7" t="s">
        <v>10</v>
      </c>
      <c r="C699" s="8" t="str">
        <f>"蒋静"</f>
        <v>蒋静</v>
      </c>
      <c r="D699" s="8" t="str">
        <f t="shared" si="285"/>
        <v>女</v>
      </c>
      <c r="E699" s="7" t="str">
        <f>"513002199704158364"</f>
        <v>513002199704158364</v>
      </c>
      <c r="F699" s="7" t="str">
        <f>"海南热带海洋学院"</f>
        <v>海南热带海洋学院</v>
      </c>
      <c r="G699" s="7" t="str">
        <f>"学期教育"</f>
        <v>学期教育</v>
      </c>
      <c r="H699" s="7" t="str">
        <f t="shared" si="288"/>
        <v>专科</v>
      </c>
      <c r="I699" s="7" t="str">
        <f t="shared" si="265"/>
        <v>幼儿园教师资格</v>
      </c>
    </row>
    <row r="700" customHeight="1" spans="1:9">
      <c r="A700" s="6">
        <v>698</v>
      </c>
      <c r="B700" s="7" t="s">
        <v>11</v>
      </c>
      <c r="C700" s="8" t="str">
        <f>"翁苗珍"</f>
        <v>翁苗珍</v>
      </c>
      <c r="D700" s="8" t="str">
        <f t="shared" si="285"/>
        <v>女</v>
      </c>
      <c r="E700" s="7" t="str">
        <f>"460006199806162346"</f>
        <v>460006199806162346</v>
      </c>
      <c r="F700" s="7" t="str">
        <f t="shared" si="289"/>
        <v>琼台师范学院</v>
      </c>
      <c r="G700" s="7" t="str">
        <f t="shared" ref="G700:G704" si="290">"学前教育"</f>
        <v>学前教育</v>
      </c>
      <c r="H700" s="7" t="str">
        <f t="shared" si="288"/>
        <v>专科</v>
      </c>
      <c r="I700" s="7" t="str">
        <f t="shared" si="265"/>
        <v>幼儿园教师资格</v>
      </c>
    </row>
    <row r="701" customHeight="1" spans="1:9">
      <c r="A701" s="6">
        <v>699</v>
      </c>
      <c r="B701" s="7" t="s">
        <v>10</v>
      </c>
      <c r="C701" s="8" t="str">
        <f>"吉珊珊"</f>
        <v>吉珊珊</v>
      </c>
      <c r="D701" s="8" t="str">
        <f t="shared" si="285"/>
        <v>女</v>
      </c>
      <c r="E701" s="7" t="str">
        <f>"46000719921027436X"</f>
        <v>46000719921027436X</v>
      </c>
      <c r="F701" s="7" t="str">
        <f>"琼州学院"</f>
        <v>琼州学院</v>
      </c>
      <c r="G701" s="7" t="str">
        <f>"学前教育（师范）"</f>
        <v>学前教育（师范）</v>
      </c>
      <c r="H701" s="7" t="str">
        <f t="shared" si="288"/>
        <v>专科</v>
      </c>
      <c r="I701" s="7" t="str">
        <f t="shared" si="265"/>
        <v>幼儿园教师资格</v>
      </c>
    </row>
    <row r="702" customHeight="1" spans="1:9">
      <c r="A702" s="6">
        <v>700</v>
      </c>
      <c r="B702" s="7" t="s">
        <v>12</v>
      </c>
      <c r="C702" s="8" t="str">
        <f>"许露妹"</f>
        <v>许露妹</v>
      </c>
      <c r="D702" s="8" t="str">
        <f t="shared" si="285"/>
        <v>女</v>
      </c>
      <c r="E702" s="7" t="str">
        <f>"460028199611247620"</f>
        <v>460028199611247620</v>
      </c>
      <c r="F702" s="7" t="str">
        <f t="shared" ref="F702:F707" si="291">"琼台师范学院"</f>
        <v>琼台师范学院</v>
      </c>
      <c r="G702" s="7" t="str">
        <f t="shared" si="290"/>
        <v>学前教育</v>
      </c>
      <c r="H702" s="7" t="str">
        <f>"专科(高职)"</f>
        <v>专科(高职)</v>
      </c>
      <c r="I702" s="7" t="str">
        <f t="shared" si="265"/>
        <v>幼儿园教师资格</v>
      </c>
    </row>
    <row r="703" customHeight="1" spans="1:9">
      <c r="A703" s="6">
        <v>701</v>
      </c>
      <c r="B703" s="7" t="s">
        <v>10</v>
      </c>
      <c r="C703" s="8" t="str">
        <f>"翁香恒"</f>
        <v>翁香恒</v>
      </c>
      <c r="D703" s="8" t="str">
        <f t="shared" si="285"/>
        <v>女</v>
      </c>
      <c r="E703" s="7" t="str">
        <f>"460006199108291626"</f>
        <v>460006199108291626</v>
      </c>
      <c r="F703" s="7" t="str">
        <f>"衡水学院"</f>
        <v>衡水学院</v>
      </c>
      <c r="G703" s="7" t="str">
        <f t="shared" si="290"/>
        <v>学前教育</v>
      </c>
      <c r="H703" s="7" t="str">
        <f t="shared" ref="H703:H710" si="292">"专科"</f>
        <v>专科</v>
      </c>
      <c r="I703" s="7" t="str">
        <f t="shared" si="265"/>
        <v>幼儿园教师资格</v>
      </c>
    </row>
    <row r="704" customHeight="1" spans="1:9">
      <c r="A704" s="6">
        <v>702</v>
      </c>
      <c r="B704" s="7" t="s">
        <v>11</v>
      </c>
      <c r="C704" s="8" t="str">
        <f>"陈碧露"</f>
        <v>陈碧露</v>
      </c>
      <c r="D704" s="8" t="str">
        <f t="shared" si="285"/>
        <v>女</v>
      </c>
      <c r="E704" s="7" t="str">
        <f>"460033199407183464"</f>
        <v>460033199407183464</v>
      </c>
      <c r="F704" s="7" t="str">
        <f t="shared" si="291"/>
        <v>琼台师范学院</v>
      </c>
      <c r="G704" s="7" t="str">
        <f t="shared" si="290"/>
        <v>学前教育</v>
      </c>
      <c r="H704" s="7" t="str">
        <f t="shared" si="292"/>
        <v>专科</v>
      </c>
      <c r="I704" s="7" t="str">
        <f t="shared" si="265"/>
        <v>幼儿园教师资格</v>
      </c>
    </row>
    <row r="705" customHeight="1" spans="1:9">
      <c r="A705" s="6">
        <v>703</v>
      </c>
      <c r="B705" s="7" t="s">
        <v>11</v>
      </c>
      <c r="C705" s="8" t="str">
        <f>"陈鸿阳"</f>
        <v>陈鸿阳</v>
      </c>
      <c r="D705" s="8" t="str">
        <f t="shared" si="285"/>
        <v>女</v>
      </c>
      <c r="E705" s="7" t="str">
        <f>"469023199807113786"</f>
        <v>469023199807113786</v>
      </c>
      <c r="F705" s="7" t="str">
        <f t="shared" si="291"/>
        <v>琼台师范学院</v>
      </c>
      <c r="G705" s="7" t="str">
        <f>"幼儿师范学院学前教育系"</f>
        <v>幼儿师范学院学前教育系</v>
      </c>
      <c r="H705" s="7" t="str">
        <f t="shared" si="292"/>
        <v>专科</v>
      </c>
      <c r="I705" s="7" t="str">
        <f t="shared" si="265"/>
        <v>幼儿园教师资格</v>
      </c>
    </row>
    <row r="706" customHeight="1" spans="1:9">
      <c r="A706" s="6">
        <v>704</v>
      </c>
      <c r="B706" s="7" t="s">
        <v>11</v>
      </c>
      <c r="C706" s="8" t="str">
        <f>"王娇"</f>
        <v>王娇</v>
      </c>
      <c r="D706" s="8" t="str">
        <f t="shared" si="285"/>
        <v>女</v>
      </c>
      <c r="E706" s="7" t="str">
        <f>"460004199607165285"</f>
        <v>460004199607165285</v>
      </c>
      <c r="F706" s="7" t="str">
        <f t="shared" si="291"/>
        <v>琼台师范学院</v>
      </c>
      <c r="G706" s="7" t="str">
        <f t="shared" ref="G706:G712" si="293">"学前教育"</f>
        <v>学前教育</v>
      </c>
      <c r="H706" s="7" t="str">
        <f t="shared" si="292"/>
        <v>专科</v>
      </c>
      <c r="I706" s="7" t="str">
        <f t="shared" ref="I706:I769" si="294">"幼儿园教师资格"</f>
        <v>幼儿园教师资格</v>
      </c>
    </row>
    <row r="707" customHeight="1" spans="1:9">
      <c r="A707" s="6">
        <v>705</v>
      </c>
      <c r="B707" s="7" t="s">
        <v>10</v>
      </c>
      <c r="C707" s="8" t="str">
        <f>"吴淑艳"</f>
        <v>吴淑艳</v>
      </c>
      <c r="D707" s="8" t="str">
        <f t="shared" si="285"/>
        <v>女</v>
      </c>
      <c r="E707" s="7" t="str">
        <f>"460104199602080923"</f>
        <v>460104199602080923</v>
      </c>
      <c r="F707" s="7" t="str">
        <f t="shared" si="291"/>
        <v>琼台师范学院</v>
      </c>
      <c r="G707" s="7" t="str">
        <f t="shared" si="293"/>
        <v>学前教育</v>
      </c>
      <c r="H707" s="7" t="str">
        <f t="shared" si="292"/>
        <v>专科</v>
      </c>
      <c r="I707" s="7" t="str">
        <f t="shared" si="294"/>
        <v>幼儿园教师资格</v>
      </c>
    </row>
    <row r="708" customHeight="1" spans="1:9">
      <c r="A708" s="6">
        <v>706</v>
      </c>
      <c r="B708" s="7" t="s">
        <v>11</v>
      </c>
      <c r="C708" s="8" t="str">
        <f>"陈玲"</f>
        <v>陈玲</v>
      </c>
      <c r="D708" s="8" t="str">
        <f t="shared" si="285"/>
        <v>女</v>
      </c>
      <c r="E708" s="7" t="str">
        <f>"460006199405134424"</f>
        <v>460006199405134424</v>
      </c>
      <c r="F708" s="7" t="str">
        <f>"海南大学"</f>
        <v>海南大学</v>
      </c>
      <c r="G708" s="7" t="str">
        <f t="shared" si="293"/>
        <v>学前教育</v>
      </c>
      <c r="H708" s="7" t="str">
        <f t="shared" si="292"/>
        <v>专科</v>
      </c>
      <c r="I708" s="7" t="str">
        <f t="shared" si="294"/>
        <v>幼儿园教师资格</v>
      </c>
    </row>
    <row r="709" customHeight="1" spans="1:9">
      <c r="A709" s="6">
        <v>707</v>
      </c>
      <c r="B709" s="7" t="s">
        <v>11</v>
      </c>
      <c r="C709" s="8" t="str">
        <f>"王业琦"</f>
        <v>王业琦</v>
      </c>
      <c r="D709" s="8" t="str">
        <f t="shared" si="285"/>
        <v>女</v>
      </c>
      <c r="E709" s="7" t="str">
        <f>"460031199802060840"</f>
        <v>460031199802060840</v>
      </c>
      <c r="F709" s="7" t="str">
        <f>"琼台师范学院"</f>
        <v>琼台师范学院</v>
      </c>
      <c r="G709" s="7" t="str">
        <f t="shared" si="293"/>
        <v>学前教育</v>
      </c>
      <c r="H709" s="7" t="str">
        <f t="shared" si="292"/>
        <v>专科</v>
      </c>
      <c r="I709" s="7" t="str">
        <f t="shared" si="294"/>
        <v>幼儿园教师资格</v>
      </c>
    </row>
    <row r="710" customHeight="1" spans="1:9">
      <c r="A710" s="6">
        <v>708</v>
      </c>
      <c r="B710" s="7" t="s">
        <v>11</v>
      </c>
      <c r="C710" s="8" t="str">
        <f>"李荣欣"</f>
        <v>李荣欣</v>
      </c>
      <c r="D710" s="8" t="str">
        <f t="shared" si="285"/>
        <v>女</v>
      </c>
      <c r="E710" s="7" t="str">
        <f>"460004199412200626"</f>
        <v>460004199412200626</v>
      </c>
      <c r="F710" s="7" t="str">
        <f>"琼台师范学院"</f>
        <v>琼台师范学院</v>
      </c>
      <c r="G710" s="7" t="str">
        <f t="shared" si="293"/>
        <v>学前教育</v>
      </c>
      <c r="H710" s="7" t="str">
        <f t="shared" si="292"/>
        <v>专科</v>
      </c>
      <c r="I710" s="7" t="str">
        <f t="shared" si="294"/>
        <v>幼儿园教师资格</v>
      </c>
    </row>
    <row r="711" customHeight="1" spans="1:9">
      <c r="A711" s="6">
        <v>709</v>
      </c>
      <c r="B711" s="7" t="s">
        <v>10</v>
      </c>
      <c r="C711" s="8" t="str">
        <f>"冯琼燕"</f>
        <v>冯琼燕</v>
      </c>
      <c r="D711" s="8" t="str">
        <f t="shared" si="285"/>
        <v>女</v>
      </c>
      <c r="E711" s="7" t="str">
        <f>"460007199510225842"</f>
        <v>460007199510225842</v>
      </c>
      <c r="F711" s="7" t="str">
        <f>"商丘学院"</f>
        <v>商丘学院</v>
      </c>
      <c r="G711" s="7" t="str">
        <f t="shared" si="293"/>
        <v>学前教育</v>
      </c>
      <c r="H711" s="7" t="str">
        <f t="shared" ref="H711:H714" si="295">"本科"</f>
        <v>本科</v>
      </c>
      <c r="I711" s="7" t="str">
        <f t="shared" si="294"/>
        <v>幼儿园教师资格</v>
      </c>
    </row>
    <row r="712" customHeight="1" spans="1:9">
      <c r="A712" s="6">
        <v>710</v>
      </c>
      <c r="B712" s="7" t="s">
        <v>11</v>
      </c>
      <c r="C712" s="8" t="str">
        <f>"羊子花"</f>
        <v>羊子花</v>
      </c>
      <c r="D712" s="8" t="str">
        <f t="shared" si="285"/>
        <v>女</v>
      </c>
      <c r="E712" s="7" t="str">
        <f>"460003199205102023"</f>
        <v>460003199205102023</v>
      </c>
      <c r="F712" s="7" t="str">
        <f>"汉江师范学院"</f>
        <v>汉江师范学院</v>
      </c>
      <c r="G712" s="7" t="str">
        <f t="shared" si="293"/>
        <v>学前教育</v>
      </c>
      <c r="H712" s="7" t="str">
        <f t="shared" ref="H712:H725" si="296">"专科"</f>
        <v>专科</v>
      </c>
      <c r="I712" s="7" t="str">
        <f t="shared" si="294"/>
        <v>幼儿园教师资格</v>
      </c>
    </row>
    <row r="713" customHeight="1" spans="1:9">
      <c r="A713" s="6">
        <v>711</v>
      </c>
      <c r="B713" s="7" t="s">
        <v>10</v>
      </c>
      <c r="C713" s="8" t="str">
        <f>"陈冬苗"</f>
        <v>陈冬苗</v>
      </c>
      <c r="D713" s="8" t="str">
        <f t="shared" si="285"/>
        <v>女</v>
      </c>
      <c r="E713" s="7" t="str">
        <f>"460033199608083267"</f>
        <v>460033199608083267</v>
      </c>
      <c r="F713" s="7" t="str">
        <f>"海南师范大学"</f>
        <v>海南师范大学</v>
      </c>
      <c r="G713" s="7" t="str">
        <f>"学前教育专业"</f>
        <v>学前教育专业</v>
      </c>
      <c r="H713" s="7" t="str">
        <f t="shared" si="295"/>
        <v>本科</v>
      </c>
      <c r="I713" s="7" t="str">
        <f t="shared" si="294"/>
        <v>幼儿园教师资格</v>
      </c>
    </row>
    <row r="714" customHeight="1" spans="1:9">
      <c r="A714" s="6">
        <v>712</v>
      </c>
      <c r="B714" s="7" t="s">
        <v>11</v>
      </c>
      <c r="C714" s="8" t="str">
        <f>"陈丽"</f>
        <v>陈丽</v>
      </c>
      <c r="D714" s="8" t="str">
        <f t="shared" si="285"/>
        <v>女</v>
      </c>
      <c r="E714" s="7" t="str">
        <f>"460025199701284266"</f>
        <v>460025199701284266</v>
      </c>
      <c r="F714" s="7" t="str">
        <f>"海南师范大学"</f>
        <v>海南师范大学</v>
      </c>
      <c r="G714" s="7" t="str">
        <f>"学前教育专业"</f>
        <v>学前教育专业</v>
      </c>
      <c r="H714" s="7" t="str">
        <f t="shared" si="295"/>
        <v>本科</v>
      </c>
      <c r="I714" s="7" t="str">
        <f t="shared" si="294"/>
        <v>幼儿园教师资格</v>
      </c>
    </row>
    <row r="715" customHeight="1" spans="1:9">
      <c r="A715" s="6">
        <v>713</v>
      </c>
      <c r="B715" s="7" t="s">
        <v>10</v>
      </c>
      <c r="C715" s="8" t="str">
        <f>"文美容"</f>
        <v>文美容</v>
      </c>
      <c r="D715" s="8" t="str">
        <f t="shared" si="285"/>
        <v>女</v>
      </c>
      <c r="E715" s="7" t="str">
        <f>"460026199909153026"</f>
        <v>460026199909153026</v>
      </c>
      <c r="F715" s="7" t="str">
        <f t="shared" ref="F715:F720" si="297">"琼台师范学院"</f>
        <v>琼台师范学院</v>
      </c>
      <c r="G715" s="7" t="str">
        <f t="shared" ref="G715:G718" si="298">"学前教育"</f>
        <v>学前教育</v>
      </c>
      <c r="H715" s="7" t="str">
        <f>"专科(高职)"</f>
        <v>专科(高职)</v>
      </c>
      <c r="I715" s="7" t="str">
        <f t="shared" si="294"/>
        <v>幼儿园教师资格</v>
      </c>
    </row>
    <row r="716" customHeight="1" spans="1:9">
      <c r="A716" s="6">
        <v>714</v>
      </c>
      <c r="B716" s="7" t="s">
        <v>11</v>
      </c>
      <c r="C716" s="8" t="str">
        <f>"许万丽"</f>
        <v>许万丽</v>
      </c>
      <c r="D716" s="8" t="str">
        <f t="shared" si="285"/>
        <v>女</v>
      </c>
      <c r="E716" s="7" t="str">
        <f>"460003199502024228"</f>
        <v>460003199502024228</v>
      </c>
      <c r="F716" s="7" t="str">
        <f t="shared" si="297"/>
        <v>琼台师范学院</v>
      </c>
      <c r="G716" s="7" t="str">
        <f t="shared" si="298"/>
        <v>学前教育</v>
      </c>
      <c r="H716" s="7" t="str">
        <f t="shared" si="296"/>
        <v>专科</v>
      </c>
      <c r="I716" s="7" t="str">
        <f t="shared" si="294"/>
        <v>幼儿园教师资格</v>
      </c>
    </row>
    <row r="717" customHeight="1" spans="1:9">
      <c r="A717" s="6">
        <v>715</v>
      </c>
      <c r="B717" s="7" t="s">
        <v>12</v>
      </c>
      <c r="C717" s="8" t="str">
        <f>"冯小珍"</f>
        <v>冯小珍</v>
      </c>
      <c r="D717" s="8" t="str">
        <f t="shared" si="285"/>
        <v>女</v>
      </c>
      <c r="E717" s="7" t="str">
        <f>"460107199306022621"</f>
        <v>460107199306022621</v>
      </c>
      <c r="F717" s="7" t="str">
        <f>"琼台师范高等专科学校"</f>
        <v>琼台师范高等专科学校</v>
      </c>
      <c r="G717" s="7" t="str">
        <f t="shared" si="298"/>
        <v>学前教育</v>
      </c>
      <c r="H717" s="7" t="str">
        <f t="shared" si="296"/>
        <v>专科</v>
      </c>
      <c r="I717" s="7" t="str">
        <f t="shared" si="294"/>
        <v>幼儿园教师资格</v>
      </c>
    </row>
    <row r="718" customHeight="1" spans="1:9">
      <c r="A718" s="6">
        <v>716</v>
      </c>
      <c r="B718" s="7" t="s">
        <v>12</v>
      </c>
      <c r="C718" s="8" t="str">
        <f>"王彩敏"</f>
        <v>王彩敏</v>
      </c>
      <c r="D718" s="8" t="str">
        <f t="shared" si="285"/>
        <v>女</v>
      </c>
      <c r="E718" s="7" t="str">
        <f>"460026199310062427"</f>
        <v>460026199310062427</v>
      </c>
      <c r="F718" s="7" t="str">
        <f>"琼台师范幼儿学院"</f>
        <v>琼台师范幼儿学院</v>
      </c>
      <c r="G718" s="7" t="str">
        <f t="shared" si="298"/>
        <v>学前教育</v>
      </c>
      <c r="H718" s="7" t="str">
        <f t="shared" si="296"/>
        <v>专科</v>
      </c>
      <c r="I718" s="7" t="str">
        <f t="shared" si="294"/>
        <v>幼儿园教师资格</v>
      </c>
    </row>
    <row r="719" customHeight="1" spans="1:9">
      <c r="A719" s="6">
        <v>717</v>
      </c>
      <c r="B719" s="7" t="s">
        <v>10</v>
      </c>
      <c r="C719" s="8" t="str">
        <f>"林霖"</f>
        <v>林霖</v>
      </c>
      <c r="D719" s="8" t="str">
        <f t="shared" si="285"/>
        <v>女</v>
      </c>
      <c r="E719" s="7" t="str">
        <f>"460007199403120041"</f>
        <v>460007199403120041</v>
      </c>
      <c r="F719" s="7" t="str">
        <f>"湖南师范大学"</f>
        <v>湖南师范大学</v>
      </c>
      <c r="G719" s="7" t="str">
        <f>"学前教育系"</f>
        <v>学前教育系</v>
      </c>
      <c r="H719" s="7" t="str">
        <f t="shared" si="296"/>
        <v>专科</v>
      </c>
      <c r="I719" s="7" t="str">
        <f t="shared" si="294"/>
        <v>幼儿园教师资格</v>
      </c>
    </row>
    <row r="720" customHeight="1" spans="1:9">
      <c r="A720" s="6">
        <v>718</v>
      </c>
      <c r="B720" s="7" t="s">
        <v>11</v>
      </c>
      <c r="C720" s="8" t="str">
        <f>"林丽杏"</f>
        <v>林丽杏</v>
      </c>
      <c r="D720" s="8" t="str">
        <f t="shared" si="285"/>
        <v>女</v>
      </c>
      <c r="E720" s="7" t="str">
        <f>"460003199804034827"</f>
        <v>460003199804034827</v>
      </c>
      <c r="F720" s="7" t="str">
        <f t="shared" si="297"/>
        <v>琼台师范学院</v>
      </c>
      <c r="G720" s="7" t="str">
        <f t="shared" ref="G720:G739" si="299">"学前教育"</f>
        <v>学前教育</v>
      </c>
      <c r="H720" s="7" t="str">
        <f t="shared" si="296"/>
        <v>专科</v>
      </c>
      <c r="I720" s="7" t="str">
        <f t="shared" si="294"/>
        <v>幼儿园教师资格</v>
      </c>
    </row>
    <row r="721" customHeight="1" spans="1:9">
      <c r="A721" s="6">
        <v>719</v>
      </c>
      <c r="B721" s="7" t="s">
        <v>10</v>
      </c>
      <c r="C721" s="8" t="str">
        <f>"马彩云"</f>
        <v>马彩云</v>
      </c>
      <c r="D721" s="8" t="str">
        <f t="shared" si="285"/>
        <v>女</v>
      </c>
      <c r="E721" s="7" t="str">
        <f>"46003419900105006X"</f>
        <v>46003419900105006X</v>
      </c>
      <c r="F721" s="7" t="str">
        <f>"琼台师范高等专科学校"</f>
        <v>琼台师范高等专科学校</v>
      </c>
      <c r="G721" s="7" t="str">
        <f t="shared" si="299"/>
        <v>学前教育</v>
      </c>
      <c r="H721" s="7" t="str">
        <f t="shared" si="296"/>
        <v>专科</v>
      </c>
      <c r="I721" s="7" t="str">
        <f t="shared" si="294"/>
        <v>幼儿园教师资格</v>
      </c>
    </row>
    <row r="722" customHeight="1" spans="1:9">
      <c r="A722" s="6">
        <v>720</v>
      </c>
      <c r="B722" s="7" t="s">
        <v>12</v>
      </c>
      <c r="C722" s="8" t="str">
        <f>"吉春花"</f>
        <v>吉春花</v>
      </c>
      <c r="D722" s="8" t="str">
        <f t="shared" si="285"/>
        <v>女</v>
      </c>
      <c r="E722" s="7" t="str">
        <f>"460034199710073061"</f>
        <v>460034199710073061</v>
      </c>
      <c r="F722" s="7" t="str">
        <f>"海南热带海洋学院民族学院"</f>
        <v>海南热带海洋学院民族学院</v>
      </c>
      <c r="G722" s="7" t="str">
        <f>"学前教育专业"</f>
        <v>学前教育专业</v>
      </c>
      <c r="H722" s="7" t="str">
        <f t="shared" si="296"/>
        <v>专科</v>
      </c>
      <c r="I722" s="7" t="str">
        <f t="shared" si="294"/>
        <v>幼儿园教师资格</v>
      </c>
    </row>
    <row r="723" customHeight="1" spans="1:9">
      <c r="A723" s="6">
        <v>721</v>
      </c>
      <c r="B723" s="7" t="s">
        <v>10</v>
      </c>
      <c r="C723" s="8" t="str">
        <f>"周爱玉"</f>
        <v>周爱玉</v>
      </c>
      <c r="D723" s="8" t="str">
        <f t="shared" si="285"/>
        <v>女</v>
      </c>
      <c r="E723" s="7" t="str">
        <f>"460004199407100620"</f>
        <v>460004199407100620</v>
      </c>
      <c r="F723" s="7" t="str">
        <f>"琼台师范学院 "</f>
        <v>琼台师范学院 </v>
      </c>
      <c r="G723" s="7" t="str">
        <f t="shared" si="299"/>
        <v>学前教育</v>
      </c>
      <c r="H723" s="7" t="str">
        <f t="shared" si="296"/>
        <v>专科</v>
      </c>
      <c r="I723" s="7" t="str">
        <f t="shared" si="294"/>
        <v>幼儿园教师资格</v>
      </c>
    </row>
    <row r="724" customHeight="1" spans="1:9">
      <c r="A724" s="6">
        <v>722</v>
      </c>
      <c r="B724" s="7" t="s">
        <v>11</v>
      </c>
      <c r="C724" s="8" t="str">
        <f>"符彩凤"</f>
        <v>符彩凤</v>
      </c>
      <c r="D724" s="8" t="str">
        <f t="shared" si="285"/>
        <v>女</v>
      </c>
      <c r="E724" s="7" t="str">
        <f>"460022199406040729"</f>
        <v>460022199406040729</v>
      </c>
      <c r="F724" s="7" t="str">
        <f>"海南热带海洋学院"</f>
        <v>海南热带海洋学院</v>
      </c>
      <c r="G724" s="7" t="str">
        <f t="shared" si="299"/>
        <v>学前教育</v>
      </c>
      <c r="H724" s="7" t="str">
        <f t="shared" si="296"/>
        <v>专科</v>
      </c>
      <c r="I724" s="7" t="str">
        <f t="shared" si="294"/>
        <v>幼儿园教师资格</v>
      </c>
    </row>
    <row r="725" customHeight="1" spans="1:9">
      <c r="A725" s="6">
        <v>723</v>
      </c>
      <c r="B725" s="7" t="s">
        <v>11</v>
      </c>
      <c r="C725" s="8" t="str">
        <f>"王海虹"</f>
        <v>王海虹</v>
      </c>
      <c r="D725" s="8" t="str">
        <f t="shared" si="285"/>
        <v>女</v>
      </c>
      <c r="E725" s="7" t="str">
        <f>"460028199410066823"</f>
        <v>460028199410066823</v>
      </c>
      <c r="F725" s="7" t="str">
        <f>"琼台书院"</f>
        <v>琼台书院</v>
      </c>
      <c r="G725" s="7" t="str">
        <f t="shared" si="299"/>
        <v>学前教育</v>
      </c>
      <c r="H725" s="7" t="str">
        <f t="shared" si="296"/>
        <v>专科</v>
      </c>
      <c r="I725" s="7" t="str">
        <f t="shared" si="294"/>
        <v>幼儿园教师资格</v>
      </c>
    </row>
    <row r="726" customHeight="1" spans="1:9">
      <c r="A726" s="6">
        <v>724</v>
      </c>
      <c r="B726" s="7" t="s">
        <v>12</v>
      </c>
      <c r="C726" s="8" t="str">
        <f>"欧家倩"</f>
        <v>欧家倩</v>
      </c>
      <c r="D726" s="8" t="str">
        <f t="shared" si="285"/>
        <v>女</v>
      </c>
      <c r="E726" s="7" t="str">
        <f>"460006199609075921"</f>
        <v>460006199609075921</v>
      </c>
      <c r="F726" s="7" t="str">
        <f>"江西科技学院"</f>
        <v>江西科技学院</v>
      </c>
      <c r="G726" s="7" t="str">
        <f t="shared" si="299"/>
        <v>学前教育</v>
      </c>
      <c r="H726" s="7" t="str">
        <f t="shared" ref="H726:H730" si="300">"本科"</f>
        <v>本科</v>
      </c>
      <c r="I726" s="7" t="str">
        <f t="shared" si="294"/>
        <v>幼儿园教师资格</v>
      </c>
    </row>
    <row r="727" customHeight="1" spans="1:9">
      <c r="A727" s="6">
        <v>725</v>
      </c>
      <c r="B727" s="7" t="s">
        <v>11</v>
      </c>
      <c r="C727" s="8" t="str">
        <f>"王丁尼"</f>
        <v>王丁尼</v>
      </c>
      <c r="D727" s="8" t="str">
        <f t="shared" si="285"/>
        <v>女</v>
      </c>
      <c r="E727" s="7" t="str">
        <f>"46002819980619002X"</f>
        <v>46002819980619002X</v>
      </c>
      <c r="F727" s="7" t="str">
        <f>"琼台师范学院"</f>
        <v>琼台师范学院</v>
      </c>
      <c r="G727" s="7" t="str">
        <f t="shared" si="299"/>
        <v>学前教育</v>
      </c>
      <c r="H727" s="7" t="str">
        <f t="shared" ref="H727:H733" si="301">"专科"</f>
        <v>专科</v>
      </c>
      <c r="I727" s="7" t="str">
        <f t="shared" si="294"/>
        <v>幼儿园教师资格</v>
      </c>
    </row>
    <row r="728" customHeight="1" spans="1:9">
      <c r="A728" s="6">
        <v>726</v>
      </c>
      <c r="B728" s="7" t="s">
        <v>11</v>
      </c>
      <c r="C728" s="8" t="str">
        <f>"金红楼"</f>
        <v>金红楼</v>
      </c>
      <c r="D728" s="8" t="str">
        <f t="shared" si="285"/>
        <v>女</v>
      </c>
      <c r="E728" s="7" t="str">
        <f>"460003199505157026"</f>
        <v>460003199505157026</v>
      </c>
      <c r="F728" s="7" t="str">
        <f>"海南热带海洋学院"</f>
        <v>海南热带海洋学院</v>
      </c>
      <c r="G728" s="7" t="str">
        <f t="shared" si="299"/>
        <v>学前教育</v>
      </c>
      <c r="H728" s="7" t="str">
        <f t="shared" si="301"/>
        <v>专科</v>
      </c>
      <c r="I728" s="7" t="str">
        <f t="shared" si="294"/>
        <v>幼儿园教师资格</v>
      </c>
    </row>
    <row r="729" customHeight="1" spans="1:9">
      <c r="A729" s="6">
        <v>727</v>
      </c>
      <c r="B729" s="7" t="s">
        <v>10</v>
      </c>
      <c r="C729" s="8" t="str">
        <f>"黄凯俪"</f>
        <v>黄凯俪</v>
      </c>
      <c r="D729" s="8" t="str">
        <f t="shared" si="285"/>
        <v>女</v>
      </c>
      <c r="E729" s="7" t="str">
        <f>"445281199608120163"</f>
        <v>445281199608120163</v>
      </c>
      <c r="F729" s="7" t="str">
        <f>"华南师范大学"</f>
        <v>华南师范大学</v>
      </c>
      <c r="G729" s="7" t="str">
        <f t="shared" si="299"/>
        <v>学前教育</v>
      </c>
      <c r="H729" s="7" t="str">
        <f t="shared" si="300"/>
        <v>本科</v>
      </c>
      <c r="I729" s="7" t="str">
        <f t="shared" si="294"/>
        <v>幼儿园教师资格</v>
      </c>
    </row>
    <row r="730" customHeight="1" spans="1:9">
      <c r="A730" s="6">
        <v>728</v>
      </c>
      <c r="B730" s="7" t="s">
        <v>10</v>
      </c>
      <c r="C730" s="8" t="str">
        <f>"谭港台"</f>
        <v>谭港台</v>
      </c>
      <c r="D730" s="8" t="str">
        <f t="shared" si="285"/>
        <v>女</v>
      </c>
      <c r="E730" s="7" t="str">
        <f>"460003199712265222"</f>
        <v>460003199712265222</v>
      </c>
      <c r="F730" s="7" t="str">
        <f>"江西科技学院"</f>
        <v>江西科技学院</v>
      </c>
      <c r="G730" s="7" t="str">
        <f t="shared" si="299"/>
        <v>学前教育</v>
      </c>
      <c r="H730" s="7" t="str">
        <f t="shared" si="300"/>
        <v>本科</v>
      </c>
      <c r="I730" s="7" t="str">
        <f t="shared" si="294"/>
        <v>幼儿园教师资格</v>
      </c>
    </row>
    <row r="731" customHeight="1" spans="1:9">
      <c r="A731" s="6">
        <v>729</v>
      </c>
      <c r="B731" s="7" t="s">
        <v>10</v>
      </c>
      <c r="C731" s="8" t="str">
        <f>"李妍花"</f>
        <v>李妍花</v>
      </c>
      <c r="D731" s="8" t="str">
        <f t="shared" si="285"/>
        <v>女</v>
      </c>
      <c r="E731" s="7" t="str">
        <f>"460003199703213025"</f>
        <v>460003199703213025</v>
      </c>
      <c r="F731" s="7" t="str">
        <f>"琼台师范学院"</f>
        <v>琼台师范学院</v>
      </c>
      <c r="G731" s="7" t="str">
        <f t="shared" si="299"/>
        <v>学前教育</v>
      </c>
      <c r="H731" s="7" t="str">
        <f>"专科(高职)"</f>
        <v>专科(高职)</v>
      </c>
      <c r="I731" s="7" t="str">
        <f t="shared" si="294"/>
        <v>幼儿园教师资格</v>
      </c>
    </row>
    <row r="732" customHeight="1" spans="1:9">
      <c r="A732" s="6">
        <v>730</v>
      </c>
      <c r="B732" s="7" t="s">
        <v>10</v>
      </c>
      <c r="C732" s="8" t="str">
        <f>"周小红"</f>
        <v>周小红</v>
      </c>
      <c r="D732" s="8" t="str">
        <f t="shared" si="285"/>
        <v>女</v>
      </c>
      <c r="E732" s="7" t="str">
        <f>"460027199703211725"</f>
        <v>460027199703211725</v>
      </c>
      <c r="F732" s="7" t="str">
        <f>"广西英华国际职业学院"</f>
        <v>广西英华国际职业学院</v>
      </c>
      <c r="G732" s="7" t="str">
        <f t="shared" si="299"/>
        <v>学前教育</v>
      </c>
      <c r="H732" s="7" t="str">
        <f t="shared" si="301"/>
        <v>专科</v>
      </c>
      <c r="I732" s="7" t="str">
        <f t="shared" si="294"/>
        <v>幼儿园教师资格</v>
      </c>
    </row>
    <row r="733" customHeight="1" spans="1:9">
      <c r="A733" s="6">
        <v>731</v>
      </c>
      <c r="B733" s="7" t="s">
        <v>11</v>
      </c>
      <c r="C733" s="8" t="str">
        <f>"翁美诗"</f>
        <v>翁美诗</v>
      </c>
      <c r="D733" s="8" t="str">
        <f t="shared" si="285"/>
        <v>女</v>
      </c>
      <c r="E733" s="7" t="str">
        <f>"460006199104168129"</f>
        <v>460006199104168129</v>
      </c>
      <c r="F733" s="7" t="str">
        <f>"琼台师范高等专科学校"</f>
        <v>琼台师范高等专科学校</v>
      </c>
      <c r="G733" s="7" t="str">
        <f t="shared" si="299"/>
        <v>学前教育</v>
      </c>
      <c r="H733" s="7" t="str">
        <f t="shared" si="301"/>
        <v>专科</v>
      </c>
      <c r="I733" s="7" t="str">
        <f t="shared" si="294"/>
        <v>幼儿园教师资格</v>
      </c>
    </row>
    <row r="734" customHeight="1" spans="1:9">
      <c r="A734" s="6">
        <v>732</v>
      </c>
      <c r="B734" s="7" t="s">
        <v>10</v>
      </c>
      <c r="C734" s="8" t="str">
        <f>"黄静"</f>
        <v>黄静</v>
      </c>
      <c r="D734" s="8" t="str">
        <f t="shared" si="285"/>
        <v>女</v>
      </c>
      <c r="E734" s="7" t="str">
        <f>"460034199004120027"</f>
        <v>460034199004120027</v>
      </c>
      <c r="F734" s="7" t="str">
        <f>"湖南师范大学"</f>
        <v>湖南师范大学</v>
      </c>
      <c r="G734" s="7" t="str">
        <f t="shared" si="299"/>
        <v>学前教育</v>
      </c>
      <c r="H734" s="7" t="str">
        <f>"本科"</f>
        <v>本科</v>
      </c>
      <c r="I734" s="7" t="str">
        <f t="shared" si="294"/>
        <v>幼儿园教师资格</v>
      </c>
    </row>
    <row r="735" customHeight="1" spans="1:9">
      <c r="A735" s="6">
        <v>733</v>
      </c>
      <c r="B735" s="7" t="s">
        <v>12</v>
      </c>
      <c r="C735" s="8" t="str">
        <f>"李秋娣"</f>
        <v>李秋娣</v>
      </c>
      <c r="D735" s="8" t="str">
        <f t="shared" si="285"/>
        <v>女</v>
      </c>
      <c r="E735" s="7" t="str">
        <f>"46000319931006062X"</f>
        <v>46000319931006062X</v>
      </c>
      <c r="F735" s="7" t="str">
        <f>"广西师范学院师园学院"</f>
        <v>广西师范学院师园学院</v>
      </c>
      <c r="G735" s="7" t="str">
        <f t="shared" si="299"/>
        <v>学前教育</v>
      </c>
      <c r="H735" s="7" t="str">
        <f>"本科"</f>
        <v>本科</v>
      </c>
      <c r="I735" s="7" t="str">
        <f t="shared" si="294"/>
        <v>幼儿园教师资格</v>
      </c>
    </row>
    <row r="736" customHeight="1" spans="1:9">
      <c r="A736" s="6">
        <v>734</v>
      </c>
      <c r="B736" s="7" t="s">
        <v>11</v>
      </c>
      <c r="C736" s="8" t="str">
        <f>"杨艳"</f>
        <v>杨艳</v>
      </c>
      <c r="D736" s="8" t="str">
        <f t="shared" si="285"/>
        <v>女</v>
      </c>
      <c r="E736" s="7" t="str">
        <f>"460006199604020024"</f>
        <v>460006199604020024</v>
      </c>
      <c r="F736" s="7" t="str">
        <f t="shared" ref="F736:F739" si="302">"琼台师范学院"</f>
        <v>琼台师范学院</v>
      </c>
      <c r="G736" s="7" t="str">
        <f t="shared" si="299"/>
        <v>学前教育</v>
      </c>
      <c r="H736" s="7" t="str">
        <f t="shared" ref="H736:H739" si="303">"专科"</f>
        <v>专科</v>
      </c>
      <c r="I736" s="7" t="str">
        <f t="shared" si="294"/>
        <v>幼儿园教师资格</v>
      </c>
    </row>
    <row r="737" customHeight="1" spans="1:9">
      <c r="A737" s="6">
        <v>735</v>
      </c>
      <c r="B737" s="7" t="s">
        <v>11</v>
      </c>
      <c r="C737" s="8" t="str">
        <f>"符舒瑾"</f>
        <v>符舒瑾</v>
      </c>
      <c r="D737" s="8" t="str">
        <f t="shared" si="285"/>
        <v>女</v>
      </c>
      <c r="E737" s="7" t="str">
        <f>"460030199712202124"</f>
        <v>460030199712202124</v>
      </c>
      <c r="F737" s="7" t="str">
        <f t="shared" si="302"/>
        <v>琼台师范学院</v>
      </c>
      <c r="G737" s="7" t="str">
        <f t="shared" si="299"/>
        <v>学前教育</v>
      </c>
      <c r="H737" s="7" t="str">
        <f t="shared" si="303"/>
        <v>专科</v>
      </c>
      <c r="I737" s="7" t="str">
        <f t="shared" si="294"/>
        <v>幼儿园教师资格</v>
      </c>
    </row>
    <row r="738" customHeight="1" spans="1:9">
      <c r="A738" s="6">
        <v>736</v>
      </c>
      <c r="B738" s="7" t="s">
        <v>11</v>
      </c>
      <c r="C738" s="8" t="str">
        <f>"王乾花"</f>
        <v>王乾花</v>
      </c>
      <c r="D738" s="8" t="str">
        <f t="shared" si="285"/>
        <v>女</v>
      </c>
      <c r="E738" s="7" t="str">
        <f>"460003199505153041"</f>
        <v>460003199505153041</v>
      </c>
      <c r="F738" s="7" t="str">
        <f t="shared" si="302"/>
        <v>琼台师范学院</v>
      </c>
      <c r="G738" s="7" t="str">
        <f t="shared" si="299"/>
        <v>学前教育</v>
      </c>
      <c r="H738" s="7" t="str">
        <f>"专科(高职)"</f>
        <v>专科(高职)</v>
      </c>
      <c r="I738" s="7" t="str">
        <f t="shared" si="294"/>
        <v>幼儿园教师资格</v>
      </c>
    </row>
    <row r="739" customHeight="1" spans="1:9">
      <c r="A739" s="6">
        <v>737</v>
      </c>
      <c r="B739" s="7" t="s">
        <v>12</v>
      </c>
      <c r="C739" s="8" t="str">
        <f>"许慧思"</f>
        <v>许慧思</v>
      </c>
      <c r="D739" s="8" t="str">
        <f t="shared" si="285"/>
        <v>女</v>
      </c>
      <c r="E739" s="7" t="str">
        <f>"469003199404237025"</f>
        <v>469003199404237025</v>
      </c>
      <c r="F739" s="7" t="str">
        <f t="shared" si="302"/>
        <v>琼台师范学院</v>
      </c>
      <c r="G739" s="7" t="str">
        <f t="shared" si="299"/>
        <v>学前教育</v>
      </c>
      <c r="H739" s="7" t="str">
        <f t="shared" si="303"/>
        <v>专科</v>
      </c>
      <c r="I739" s="7" t="str">
        <f t="shared" si="294"/>
        <v>幼儿园教师资格</v>
      </c>
    </row>
    <row r="740" customHeight="1" spans="1:9">
      <c r="A740" s="6">
        <v>738</v>
      </c>
      <c r="B740" s="7" t="s">
        <v>11</v>
      </c>
      <c r="C740" s="8" t="str">
        <f>"洪愉"</f>
        <v>洪愉</v>
      </c>
      <c r="D740" s="8" t="str">
        <f t="shared" si="285"/>
        <v>女</v>
      </c>
      <c r="E740" s="7" t="str">
        <f>"460001199610271020"</f>
        <v>460001199610271020</v>
      </c>
      <c r="F740" s="7" t="str">
        <f>"海南师范大学"</f>
        <v>海南师范大学</v>
      </c>
      <c r="G740" s="7" t="str">
        <f>"学前教育专业"</f>
        <v>学前教育专业</v>
      </c>
      <c r="H740" s="7" t="str">
        <f>"本科"</f>
        <v>本科</v>
      </c>
      <c r="I740" s="7" t="str">
        <f t="shared" si="294"/>
        <v>幼儿园教师资格</v>
      </c>
    </row>
    <row r="741" customHeight="1" spans="1:9">
      <c r="A741" s="6">
        <v>739</v>
      </c>
      <c r="B741" s="7" t="s">
        <v>11</v>
      </c>
      <c r="C741" s="8" t="str">
        <f>"吴芷媛"</f>
        <v>吴芷媛</v>
      </c>
      <c r="D741" s="8" t="str">
        <f t="shared" si="285"/>
        <v>女</v>
      </c>
      <c r="E741" s="7" t="str">
        <f>"460031199808220825"</f>
        <v>460031199808220825</v>
      </c>
      <c r="F741" s="7" t="str">
        <f t="shared" ref="F741:F746" si="304">"琼台师范学院"</f>
        <v>琼台师范学院</v>
      </c>
      <c r="G741" s="7" t="str">
        <f t="shared" ref="G741:G743" si="305">"学前教育"</f>
        <v>学前教育</v>
      </c>
      <c r="H741" s="7" t="str">
        <f>"专科(高职)"</f>
        <v>专科(高职)</v>
      </c>
      <c r="I741" s="7" t="str">
        <f t="shared" si="294"/>
        <v>幼儿园教师资格</v>
      </c>
    </row>
    <row r="742" customHeight="1" spans="1:9">
      <c r="A742" s="6">
        <v>740</v>
      </c>
      <c r="B742" s="7" t="s">
        <v>12</v>
      </c>
      <c r="C742" s="8" t="str">
        <f>"蔡描"</f>
        <v>蔡描</v>
      </c>
      <c r="D742" s="8" t="str">
        <f t="shared" si="285"/>
        <v>女</v>
      </c>
      <c r="E742" s="7" t="str">
        <f>"362202199702106220"</f>
        <v>362202199702106220</v>
      </c>
      <c r="F742" s="7" t="str">
        <f>"宜春学院"</f>
        <v>宜春学院</v>
      </c>
      <c r="G742" s="7" t="str">
        <f t="shared" si="305"/>
        <v>学前教育</v>
      </c>
      <c r="H742" s="7" t="str">
        <f t="shared" ref="H742:H747" si="306">"专科"</f>
        <v>专科</v>
      </c>
      <c r="I742" s="7" t="str">
        <f t="shared" si="294"/>
        <v>幼儿园教师资格</v>
      </c>
    </row>
    <row r="743" customHeight="1" spans="1:9">
      <c r="A743" s="6">
        <v>741</v>
      </c>
      <c r="B743" s="7" t="s">
        <v>11</v>
      </c>
      <c r="C743" s="8" t="str">
        <f>"高香群"</f>
        <v>高香群</v>
      </c>
      <c r="D743" s="8" t="str">
        <f t="shared" si="285"/>
        <v>女</v>
      </c>
      <c r="E743" s="7" t="str">
        <f>"460021199210084424"</f>
        <v>460021199210084424</v>
      </c>
      <c r="F743" s="7" t="str">
        <f>"琼台师范高等专科学校"</f>
        <v>琼台师范高等专科学校</v>
      </c>
      <c r="G743" s="7" t="str">
        <f t="shared" si="305"/>
        <v>学前教育</v>
      </c>
      <c r="H743" s="7" t="str">
        <f t="shared" si="306"/>
        <v>专科</v>
      </c>
      <c r="I743" s="7" t="str">
        <f t="shared" si="294"/>
        <v>幼儿园教师资格</v>
      </c>
    </row>
    <row r="744" customHeight="1" spans="1:9">
      <c r="A744" s="6">
        <v>742</v>
      </c>
      <c r="B744" s="7" t="s">
        <v>10</v>
      </c>
      <c r="C744" s="8" t="str">
        <f>"杨泽芬"</f>
        <v>杨泽芬</v>
      </c>
      <c r="D744" s="8" t="str">
        <f t="shared" si="285"/>
        <v>女</v>
      </c>
      <c r="E744" s="7" t="str">
        <f>"460007199410105827"</f>
        <v>460007199410105827</v>
      </c>
      <c r="F744" s="7" t="str">
        <f>"琼台范师学院"</f>
        <v>琼台范师学院</v>
      </c>
      <c r="G744" s="7" t="str">
        <f>"学前教育(英语教育方向）"</f>
        <v>学前教育(英语教育方向）</v>
      </c>
      <c r="H744" s="7" t="str">
        <f t="shared" si="306"/>
        <v>专科</v>
      </c>
      <c r="I744" s="7" t="str">
        <f t="shared" si="294"/>
        <v>幼儿园教师资格</v>
      </c>
    </row>
    <row r="745" customHeight="1" spans="1:9">
      <c r="A745" s="6">
        <v>743</v>
      </c>
      <c r="B745" s="7" t="s">
        <v>12</v>
      </c>
      <c r="C745" s="8" t="str">
        <f>"王潇"</f>
        <v>王潇</v>
      </c>
      <c r="D745" s="8" t="str">
        <f t="shared" si="285"/>
        <v>女</v>
      </c>
      <c r="E745" s="7" t="str">
        <f>"460102199409090924"</f>
        <v>460102199409090924</v>
      </c>
      <c r="F745" s="7" t="str">
        <f t="shared" si="304"/>
        <v>琼台师范学院</v>
      </c>
      <c r="G745" s="7" t="str">
        <f>"学前教育（英语方向）"</f>
        <v>学前教育（英语方向）</v>
      </c>
      <c r="H745" s="7" t="str">
        <f t="shared" si="306"/>
        <v>专科</v>
      </c>
      <c r="I745" s="7" t="str">
        <f t="shared" si="294"/>
        <v>幼儿园教师资格</v>
      </c>
    </row>
    <row r="746" customHeight="1" spans="1:9">
      <c r="A746" s="6">
        <v>744</v>
      </c>
      <c r="B746" s="7" t="s">
        <v>10</v>
      </c>
      <c r="C746" s="8" t="str">
        <f>"王春雪"</f>
        <v>王春雪</v>
      </c>
      <c r="D746" s="8" t="str">
        <f t="shared" si="285"/>
        <v>女</v>
      </c>
      <c r="E746" s="7" t="str">
        <f>"460027199812185925"</f>
        <v>460027199812185925</v>
      </c>
      <c r="F746" s="7" t="str">
        <f t="shared" si="304"/>
        <v>琼台师范学院</v>
      </c>
      <c r="G746" s="7" t="str">
        <f t="shared" ref="G746:G748" si="307">"学前教育"</f>
        <v>学前教育</v>
      </c>
      <c r="H746" s="7" t="str">
        <f t="shared" si="306"/>
        <v>专科</v>
      </c>
      <c r="I746" s="7" t="str">
        <f t="shared" si="294"/>
        <v>幼儿园教师资格</v>
      </c>
    </row>
    <row r="747" customHeight="1" spans="1:9">
      <c r="A747" s="6">
        <v>745</v>
      </c>
      <c r="B747" s="7" t="s">
        <v>10</v>
      </c>
      <c r="C747" s="8" t="str">
        <f>"吴金妹"</f>
        <v>吴金妹</v>
      </c>
      <c r="D747" s="8" t="str">
        <f t="shared" si="285"/>
        <v>女</v>
      </c>
      <c r="E747" s="7" t="str">
        <f>"460003199506113025"</f>
        <v>460003199506113025</v>
      </c>
      <c r="F747" s="7" t="str">
        <f>"广西城市职业大学"</f>
        <v>广西城市职业大学</v>
      </c>
      <c r="G747" s="7" t="str">
        <f t="shared" si="307"/>
        <v>学前教育</v>
      </c>
      <c r="H747" s="7" t="str">
        <f t="shared" si="306"/>
        <v>专科</v>
      </c>
      <c r="I747" s="7" t="str">
        <f t="shared" si="294"/>
        <v>幼儿园教师资格</v>
      </c>
    </row>
    <row r="748" customHeight="1" spans="1:9">
      <c r="A748" s="6">
        <v>746</v>
      </c>
      <c r="B748" s="7" t="s">
        <v>10</v>
      </c>
      <c r="C748" s="8" t="str">
        <f>"李金菊"</f>
        <v>李金菊</v>
      </c>
      <c r="D748" s="8" t="str">
        <f t="shared" si="285"/>
        <v>女</v>
      </c>
      <c r="E748" s="7" t="str">
        <f>"460003199505244621"</f>
        <v>460003199505244621</v>
      </c>
      <c r="F748" s="7" t="str">
        <f>"忻州师范学院"</f>
        <v>忻州师范学院</v>
      </c>
      <c r="G748" s="7" t="str">
        <f t="shared" si="307"/>
        <v>学前教育</v>
      </c>
      <c r="H748" s="7" t="str">
        <f>"本科"</f>
        <v>本科</v>
      </c>
      <c r="I748" s="7" t="str">
        <f t="shared" si="294"/>
        <v>幼儿园教师资格</v>
      </c>
    </row>
    <row r="749" customHeight="1" spans="1:9">
      <c r="A749" s="6">
        <v>747</v>
      </c>
      <c r="B749" s="7" t="s">
        <v>10</v>
      </c>
      <c r="C749" s="8" t="str">
        <f>"张慧"</f>
        <v>张慧</v>
      </c>
      <c r="D749" s="8" t="str">
        <f t="shared" ref="D749:D754" si="308">"女"</f>
        <v>女</v>
      </c>
      <c r="E749" s="7" t="str">
        <f>"460026199302140042"</f>
        <v>460026199302140042</v>
      </c>
      <c r="F749" s="7" t="str">
        <f>"海南省琼台师范高等专科学校"</f>
        <v>海南省琼台师范高等专科学校</v>
      </c>
      <c r="G749" s="7" t="str">
        <f>"学前教学"</f>
        <v>学前教学</v>
      </c>
      <c r="H749" s="7" t="str">
        <f t="shared" ref="H749:H755" si="309">"专科"</f>
        <v>专科</v>
      </c>
      <c r="I749" s="7" t="str">
        <f t="shared" si="294"/>
        <v>幼儿园教师资格</v>
      </c>
    </row>
    <row r="750" customHeight="1" spans="1:9">
      <c r="A750" s="6">
        <v>748</v>
      </c>
      <c r="B750" s="7" t="s">
        <v>12</v>
      </c>
      <c r="C750" s="8" t="str">
        <f>"蒋华娇"</f>
        <v>蒋华娇</v>
      </c>
      <c r="D750" s="8" t="str">
        <f t="shared" si="308"/>
        <v>女</v>
      </c>
      <c r="E750" s="7" t="str">
        <f>"460004199410133503"</f>
        <v>460004199410133503</v>
      </c>
      <c r="F750" s="7" t="str">
        <f>"琼台师范高等专科学校"</f>
        <v>琼台师范高等专科学校</v>
      </c>
      <c r="G750" s="7" t="str">
        <f t="shared" ref="G750:G757" si="310">"学前教育"</f>
        <v>学前教育</v>
      </c>
      <c r="H750" s="7" t="str">
        <f t="shared" si="309"/>
        <v>专科</v>
      </c>
      <c r="I750" s="7" t="str">
        <f t="shared" si="294"/>
        <v>幼儿园教师资格</v>
      </c>
    </row>
    <row r="751" customHeight="1" spans="1:9">
      <c r="A751" s="6">
        <v>749</v>
      </c>
      <c r="B751" s="7" t="s">
        <v>12</v>
      </c>
      <c r="C751" s="8" t="str">
        <f>"邢玉婷"</f>
        <v>邢玉婷</v>
      </c>
      <c r="D751" s="8" t="str">
        <f t="shared" si="308"/>
        <v>女</v>
      </c>
      <c r="E751" s="7" t="str">
        <f>"46003319931114388X"</f>
        <v>46003319931114388X</v>
      </c>
      <c r="F751" s="7" t="str">
        <f>"琼台师范高等专科学校"</f>
        <v>琼台师范高等专科学校</v>
      </c>
      <c r="G751" s="7" t="str">
        <f t="shared" si="310"/>
        <v>学前教育</v>
      </c>
      <c r="H751" s="7" t="str">
        <f>"专科(高职)"</f>
        <v>专科(高职)</v>
      </c>
      <c r="I751" s="7" t="str">
        <f t="shared" si="294"/>
        <v>幼儿园教师资格</v>
      </c>
    </row>
    <row r="752" customHeight="1" spans="1:9">
      <c r="A752" s="6">
        <v>750</v>
      </c>
      <c r="B752" s="7" t="s">
        <v>10</v>
      </c>
      <c r="C752" s="8" t="str">
        <f>"郑红宇"</f>
        <v>郑红宇</v>
      </c>
      <c r="D752" s="8" t="str">
        <f t="shared" si="308"/>
        <v>女</v>
      </c>
      <c r="E752" s="7" t="str">
        <f>"460025198909141526"</f>
        <v>460025198909141526</v>
      </c>
      <c r="F752" s="7" t="str">
        <f>"中央广播电视大学"</f>
        <v>中央广播电视大学</v>
      </c>
      <c r="G752" s="7" t="str">
        <f t="shared" si="310"/>
        <v>学前教育</v>
      </c>
      <c r="H752" s="7" t="str">
        <f>"专科(高职)"</f>
        <v>专科(高职)</v>
      </c>
      <c r="I752" s="7" t="str">
        <f t="shared" si="294"/>
        <v>幼儿园教师资格</v>
      </c>
    </row>
    <row r="753" customHeight="1" spans="1:9">
      <c r="A753" s="6">
        <v>751</v>
      </c>
      <c r="B753" s="7" t="s">
        <v>10</v>
      </c>
      <c r="C753" s="8" t="str">
        <f>"曾春桃"</f>
        <v>曾春桃</v>
      </c>
      <c r="D753" s="8" t="str">
        <f t="shared" si="308"/>
        <v>女</v>
      </c>
      <c r="E753" s="7" t="str">
        <f>"460006199601164823"</f>
        <v>460006199601164823</v>
      </c>
      <c r="F753" s="7" t="str">
        <f t="shared" ref="F753:F759" si="311">"琼台师范学院"</f>
        <v>琼台师范学院</v>
      </c>
      <c r="G753" s="7" t="str">
        <f t="shared" si="310"/>
        <v>学前教育</v>
      </c>
      <c r="H753" s="7" t="str">
        <f t="shared" si="309"/>
        <v>专科</v>
      </c>
      <c r="I753" s="7" t="str">
        <f t="shared" si="294"/>
        <v>幼儿园教师资格</v>
      </c>
    </row>
    <row r="754" customHeight="1" spans="1:9">
      <c r="A754" s="6">
        <v>752</v>
      </c>
      <c r="B754" s="7" t="s">
        <v>11</v>
      </c>
      <c r="C754" s="8" t="str">
        <f>"郭立红"</f>
        <v>郭立红</v>
      </c>
      <c r="D754" s="8" t="str">
        <f t="shared" si="308"/>
        <v>女</v>
      </c>
      <c r="E754" s="7" t="str">
        <f>"460003199401012420"</f>
        <v>460003199401012420</v>
      </c>
      <c r="F754" s="7" t="str">
        <f t="shared" si="311"/>
        <v>琼台师范学院</v>
      </c>
      <c r="G754" s="7" t="str">
        <f t="shared" si="310"/>
        <v>学前教育</v>
      </c>
      <c r="H754" s="7" t="str">
        <f t="shared" si="309"/>
        <v>专科</v>
      </c>
      <c r="I754" s="7" t="str">
        <f t="shared" si="294"/>
        <v>幼儿园教师资格</v>
      </c>
    </row>
    <row r="755" customHeight="1" spans="1:9">
      <c r="A755" s="6">
        <v>753</v>
      </c>
      <c r="B755" s="7" t="s">
        <v>10</v>
      </c>
      <c r="C755" s="8" t="str">
        <f>"钟海麟"</f>
        <v>钟海麟</v>
      </c>
      <c r="D755" s="8" t="str">
        <f>"男"</f>
        <v>男</v>
      </c>
      <c r="E755" s="7" t="str">
        <f>"460031199409175617"</f>
        <v>460031199409175617</v>
      </c>
      <c r="F755" s="7" t="str">
        <f>"海南热带海洋学院"</f>
        <v>海南热带海洋学院</v>
      </c>
      <c r="G755" s="7" t="str">
        <f t="shared" si="310"/>
        <v>学前教育</v>
      </c>
      <c r="H755" s="7" t="str">
        <f t="shared" si="309"/>
        <v>专科</v>
      </c>
      <c r="I755" s="7" t="str">
        <f t="shared" si="294"/>
        <v>幼儿园教师资格</v>
      </c>
    </row>
    <row r="756" customHeight="1" spans="1:9">
      <c r="A756" s="6">
        <v>754</v>
      </c>
      <c r="B756" s="7" t="s">
        <v>11</v>
      </c>
      <c r="C756" s="8" t="str">
        <f>"陈妙"</f>
        <v>陈妙</v>
      </c>
      <c r="D756" s="8" t="str">
        <f t="shared" ref="D756:D819" si="312">"女"</f>
        <v>女</v>
      </c>
      <c r="E756" s="7" t="str">
        <f>"460002199705083846"</f>
        <v>460002199705083846</v>
      </c>
      <c r="F756" s="7" t="str">
        <f>"曲靖师范学院"</f>
        <v>曲靖师范学院</v>
      </c>
      <c r="G756" s="7" t="str">
        <f t="shared" si="310"/>
        <v>学前教育</v>
      </c>
      <c r="H756" s="7" t="str">
        <f>"本科"</f>
        <v>本科</v>
      </c>
      <c r="I756" s="7" t="str">
        <f t="shared" si="294"/>
        <v>幼儿园教师资格</v>
      </c>
    </row>
    <row r="757" customHeight="1" spans="1:9">
      <c r="A757" s="6">
        <v>755</v>
      </c>
      <c r="B757" s="7" t="s">
        <v>11</v>
      </c>
      <c r="C757" s="8" t="str">
        <f>"羊以虹"</f>
        <v>羊以虹</v>
      </c>
      <c r="D757" s="8" t="str">
        <f t="shared" si="312"/>
        <v>女</v>
      </c>
      <c r="E757" s="7" t="str">
        <f>"460030199507112445"</f>
        <v>460030199507112445</v>
      </c>
      <c r="F757" s="7" t="str">
        <f t="shared" si="311"/>
        <v>琼台师范学院</v>
      </c>
      <c r="G757" s="7" t="str">
        <f t="shared" si="310"/>
        <v>学前教育</v>
      </c>
      <c r="H757" s="7" t="str">
        <f t="shared" ref="H757:H762" si="313">"专科"</f>
        <v>专科</v>
      </c>
      <c r="I757" s="7" t="str">
        <f t="shared" si="294"/>
        <v>幼儿园教师资格</v>
      </c>
    </row>
    <row r="758" customHeight="1" spans="1:9">
      <c r="A758" s="6">
        <v>756</v>
      </c>
      <c r="B758" s="7" t="s">
        <v>12</v>
      </c>
      <c r="C758" s="8" t="str">
        <f>"潘三妹"</f>
        <v>潘三妹</v>
      </c>
      <c r="D758" s="8" t="str">
        <f t="shared" si="312"/>
        <v>女</v>
      </c>
      <c r="E758" s="7" t="str">
        <f>"460027199709158507"</f>
        <v>460027199709158507</v>
      </c>
      <c r="F758" s="7" t="str">
        <f t="shared" si="311"/>
        <v>琼台师范学院</v>
      </c>
      <c r="G758" s="7" t="str">
        <f>"学前教育（英语教育方向）"</f>
        <v>学前教育（英语教育方向）</v>
      </c>
      <c r="H758" s="7" t="str">
        <f t="shared" si="313"/>
        <v>专科</v>
      </c>
      <c r="I758" s="7" t="str">
        <f t="shared" si="294"/>
        <v>幼儿园教师资格</v>
      </c>
    </row>
    <row r="759" customHeight="1" spans="1:9">
      <c r="A759" s="6">
        <v>757</v>
      </c>
      <c r="B759" s="7" t="s">
        <v>11</v>
      </c>
      <c r="C759" s="8" t="str">
        <f>"吴清妹"</f>
        <v>吴清妹</v>
      </c>
      <c r="D759" s="8" t="str">
        <f t="shared" si="312"/>
        <v>女</v>
      </c>
      <c r="E759" s="7" t="str">
        <f>"460028199509220026"</f>
        <v>460028199509220026</v>
      </c>
      <c r="F759" s="7" t="str">
        <f t="shared" si="311"/>
        <v>琼台师范学院</v>
      </c>
      <c r="G759" s="7" t="str">
        <f t="shared" ref="G759:G762" si="314">"学前教育"</f>
        <v>学前教育</v>
      </c>
      <c r="H759" s="7" t="str">
        <f t="shared" si="313"/>
        <v>专科</v>
      </c>
      <c r="I759" s="7" t="str">
        <f t="shared" si="294"/>
        <v>幼儿园教师资格</v>
      </c>
    </row>
    <row r="760" customHeight="1" spans="1:9">
      <c r="A760" s="6">
        <v>758</v>
      </c>
      <c r="B760" s="7" t="s">
        <v>10</v>
      </c>
      <c r="C760" s="8" t="str">
        <f>"陈扬柳"</f>
        <v>陈扬柳</v>
      </c>
      <c r="D760" s="8" t="str">
        <f t="shared" si="312"/>
        <v>女</v>
      </c>
      <c r="E760" s="7" t="str">
        <f>"460004199503153220"</f>
        <v>460004199503153220</v>
      </c>
      <c r="F760" s="7" t="str">
        <f>"琼台师范高等专科幼儿师范学院"</f>
        <v>琼台师范高等专科幼儿师范学院</v>
      </c>
      <c r="G760" s="7" t="str">
        <f t="shared" si="314"/>
        <v>学前教育</v>
      </c>
      <c r="H760" s="7" t="str">
        <f t="shared" si="313"/>
        <v>专科</v>
      </c>
      <c r="I760" s="7" t="str">
        <f t="shared" si="294"/>
        <v>幼儿园教师资格</v>
      </c>
    </row>
    <row r="761" customHeight="1" spans="1:9">
      <c r="A761" s="6">
        <v>759</v>
      </c>
      <c r="B761" s="7" t="s">
        <v>10</v>
      </c>
      <c r="C761" s="8" t="str">
        <f>"关惠琼"</f>
        <v>关惠琼</v>
      </c>
      <c r="D761" s="8" t="str">
        <f t="shared" si="312"/>
        <v>女</v>
      </c>
      <c r="E761" s="7" t="str">
        <f>"460036199206042728"</f>
        <v>460036199206042728</v>
      </c>
      <c r="F761" s="7" t="str">
        <f t="shared" ref="F761:F766" si="315">"海南热带海洋学院"</f>
        <v>海南热带海洋学院</v>
      </c>
      <c r="G761" s="7" t="str">
        <f t="shared" si="314"/>
        <v>学前教育</v>
      </c>
      <c r="H761" s="7" t="str">
        <f t="shared" si="313"/>
        <v>专科</v>
      </c>
      <c r="I761" s="7" t="str">
        <f t="shared" si="294"/>
        <v>幼儿园教师资格</v>
      </c>
    </row>
    <row r="762" customHeight="1" spans="1:9">
      <c r="A762" s="6">
        <v>760</v>
      </c>
      <c r="B762" s="7" t="s">
        <v>11</v>
      </c>
      <c r="C762" s="8" t="str">
        <f>"符博妃"</f>
        <v>符博妃</v>
      </c>
      <c r="D762" s="8" t="str">
        <f t="shared" si="312"/>
        <v>女</v>
      </c>
      <c r="E762" s="7" t="str">
        <f>"460003199604014629"</f>
        <v>460003199604014629</v>
      </c>
      <c r="F762" s="7" t="str">
        <f>"琼台师范学院"</f>
        <v>琼台师范学院</v>
      </c>
      <c r="G762" s="7" t="str">
        <f t="shared" si="314"/>
        <v>学前教育</v>
      </c>
      <c r="H762" s="7" t="str">
        <f t="shared" si="313"/>
        <v>专科</v>
      </c>
      <c r="I762" s="7" t="str">
        <f t="shared" si="294"/>
        <v>幼儿园教师资格</v>
      </c>
    </row>
    <row r="763" customHeight="1" spans="1:9">
      <c r="A763" s="6">
        <v>761</v>
      </c>
      <c r="B763" s="7" t="s">
        <v>10</v>
      </c>
      <c r="C763" s="8" t="str">
        <f>"郭佳佳"</f>
        <v>郭佳佳</v>
      </c>
      <c r="D763" s="8" t="str">
        <f t="shared" si="312"/>
        <v>女</v>
      </c>
      <c r="E763" s="7" t="str">
        <f>"460103199406220021"</f>
        <v>460103199406220021</v>
      </c>
      <c r="F763" s="7" t="str">
        <f t="shared" si="315"/>
        <v>海南热带海洋学院</v>
      </c>
      <c r="G763" s="7" t="str">
        <f>"学前教育（师范）专业"</f>
        <v>学前教育（师范）专业</v>
      </c>
      <c r="H763" s="7" t="str">
        <f t="shared" ref="H763:H765" si="316">"本科"</f>
        <v>本科</v>
      </c>
      <c r="I763" s="7" t="str">
        <f t="shared" si="294"/>
        <v>幼儿园教师资格</v>
      </c>
    </row>
    <row r="764" customHeight="1" spans="1:9">
      <c r="A764" s="6">
        <v>762</v>
      </c>
      <c r="B764" s="7" t="s">
        <v>10</v>
      </c>
      <c r="C764" s="8" t="str">
        <f>"陈小慧"</f>
        <v>陈小慧</v>
      </c>
      <c r="D764" s="8" t="str">
        <f t="shared" si="312"/>
        <v>女</v>
      </c>
      <c r="E764" s="7" t="str">
        <f>"460026199009140924"</f>
        <v>460026199009140924</v>
      </c>
      <c r="F764" s="7" t="str">
        <f>"河北衡水学院"</f>
        <v>河北衡水学院</v>
      </c>
      <c r="G764" s="7" t="str">
        <f>"学前教育专业"</f>
        <v>学前教育专业</v>
      </c>
      <c r="H764" s="7" t="str">
        <f t="shared" si="316"/>
        <v>本科</v>
      </c>
      <c r="I764" s="7" t="str">
        <f t="shared" si="294"/>
        <v>幼儿园教师资格</v>
      </c>
    </row>
    <row r="765" customHeight="1" spans="1:9">
      <c r="A765" s="6">
        <v>763</v>
      </c>
      <c r="B765" s="7" t="s">
        <v>11</v>
      </c>
      <c r="C765" s="8" t="str">
        <f>"罗琳"</f>
        <v>罗琳</v>
      </c>
      <c r="D765" s="8" t="str">
        <f t="shared" si="312"/>
        <v>女</v>
      </c>
      <c r="E765" s="7" t="str">
        <f>"460004199608210025"</f>
        <v>460004199608210025</v>
      </c>
      <c r="F765" s="7" t="str">
        <f t="shared" ref="F765:F769" si="317">"琼台师范学院"</f>
        <v>琼台师范学院</v>
      </c>
      <c r="G765" s="7" t="str">
        <f t="shared" ref="G765:G769" si="318">"学前教育"</f>
        <v>学前教育</v>
      </c>
      <c r="H765" s="7" t="str">
        <f t="shared" si="316"/>
        <v>本科</v>
      </c>
      <c r="I765" s="7" t="str">
        <f t="shared" si="294"/>
        <v>幼儿园教师资格</v>
      </c>
    </row>
    <row r="766" customHeight="1" spans="1:9">
      <c r="A766" s="6">
        <v>764</v>
      </c>
      <c r="B766" s="7" t="s">
        <v>11</v>
      </c>
      <c r="C766" s="8" t="str">
        <f>"郑陈群"</f>
        <v>郑陈群</v>
      </c>
      <c r="D766" s="8" t="str">
        <f t="shared" si="312"/>
        <v>女</v>
      </c>
      <c r="E766" s="7" t="str">
        <f>"460033199612104489"</f>
        <v>460033199612104489</v>
      </c>
      <c r="F766" s="7" t="str">
        <f t="shared" si="315"/>
        <v>海南热带海洋学院</v>
      </c>
      <c r="G766" s="7" t="str">
        <f t="shared" si="318"/>
        <v>学前教育</v>
      </c>
      <c r="H766" s="7" t="str">
        <f t="shared" ref="H766:H769" si="319">"专科"</f>
        <v>专科</v>
      </c>
      <c r="I766" s="7" t="str">
        <f t="shared" si="294"/>
        <v>幼儿园教师资格</v>
      </c>
    </row>
    <row r="767" customHeight="1" spans="1:9">
      <c r="A767" s="6">
        <v>765</v>
      </c>
      <c r="B767" s="7" t="s">
        <v>12</v>
      </c>
      <c r="C767" s="8" t="str">
        <f>"陈雪"</f>
        <v>陈雪</v>
      </c>
      <c r="D767" s="8" t="str">
        <f t="shared" si="312"/>
        <v>女</v>
      </c>
      <c r="E767" s="7" t="str">
        <f>"460003199306271424"</f>
        <v>460003199306271424</v>
      </c>
      <c r="F767" s="7" t="str">
        <f>"海南师范大学"</f>
        <v>海南师范大学</v>
      </c>
      <c r="G767" s="7" t="str">
        <f>"学前教育专业"</f>
        <v>学前教育专业</v>
      </c>
      <c r="H767" s="7" t="str">
        <f>"专科(高职)"</f>
        <v>专科(高职)</v>
      </c>
      <c r="I767" s="7" t="str">
        <f t="shared" si="294"/>
        <v>幼儿园教师资格</v>
      </c>
    </row>
    <row r="768" customHeight="1" spans="1:9">
      <c r="A768" s="6">
        <v>766</v>
      </c>
      <c r="B768" s="7" t="s">
        <v>10</v>
      </c>
      <c r="C768" s="8" t="str">
        <f>"王艳"</f>
        <v>王艳</v>
      </c>
      <c r="D768" s="8" t="str">
        <f t="shared" si="312"/>
        <v>女</v>
      </c>
      <c r="E768" s="7" t="str">
        <f>"469030199502287543"</f>
        <v>469030199502287543</v>
      </c>
      <c r="F768" s="7" t="str">
        <f t="shared" si="317"/>
        <v>琼台师范学院</v>
      </c>
      <c r="G768" s="7" t="str">
        <f t="shared" si="318"/>
        <v>学前教育</v>
      </c>
      <c r="H768" s="7" t="str">
        <f t="shared" si="319"/>
        <v>专科</v>
      </c>
      <c r="I768" s="7" t="str">
        <f t="shared" si="294"/>
        <v>幼儿园教师资格</v>
      </c>
    </row>
    <row r="769" customHeight="1" spans="1:9">
      <c r="A769" s="6">
        <v>767</v>
      </c>
      <c r="B769" s="7" t="s">
        <v>11</v>
      </c>
      <c r="C769" s="8" t="str">
        <f>"王少华"</f>
        <v>王少华</v>
      </c>
      <c r="D769" s="8" t="str">
        <f t="shared" si="312"/>
        <v>女</v>
      </c>
      <c r="E769" s="7" t="str">
        <f>"469023199709275925"</f>
        <v>469023199709275925</v>
      </c>
      <c r="F769" s="7" t="str">
        <f t="shared" si="317"/>
        <v>琼台师范学院</v>
      </c>
      <c r="G769" s="7" t="str">
        <f t="shared" si="318"/>
        <v>学前教育</v>
      </c>
      <c r="H769" s="7" t="str">
        <f t="shared" si="319"/>
        <v>专科</v>
      </c>
      <c r="I769" s="7" t="str">
        <f t="shared" si="294"/>
        <v>幼儿园教师资格</v>
      </c>
    </row>
    <row r="770" customHeight="1" spans="1:9">
      <c r="A770" s="6">
        <v>768</v>
      </c>
      <c r="B770" s="7" t="s">
        <v>10</v>
      </c>
      <c r="C770" s="8" t="str">
        <f>"吴廷磊"</f>
        <v>吴廷磊</v>
      </c>
      <c r="D770" s="8" t="str">
        <f t="shared" si="312"/>
        <v>女</v>
      </c>
      <c r="E770" s="7" t="str">
        <f>"460025199504280629"</f>
        <v>460025199504280629</v>
      </c>
      <c r="F770" s="7" t="str">
        <f>"海南热带海洋学院"</f>
        <v>海南热带海洋学院</v>
      </c>
      <c r="G770" s="7" t="str">
        <f>"学前教育（师范）"</f>
        <v>学前教育（师范）</v>
      </c>
      <c r="H770" s="7" t="str">
        <f>"本科"</f>
        <v>本科</v>
      </c>
      <c r="I770" s="7" t="str">
        <f t="shared" ref="I770:I833" si="320">"幼儿园教师资格"</f>
        <v>幼儿园教师资格</v>
      </c>
    </row>
    <row r="771" customHeight="1" spans="1:9">
      <c r="A771" s="6">
        <v>769</v>
      </c>
      <c r="B771" s="7" t="s">
        <v>10</v>
      </c>
      <c r="C771" s="8" t="str">
        <f>"王秋梅"</f>
        <v>王秋梅</v>
      </c>
      <c r="D771" s="8" t="str">
        <f t="shared" si="312"/>
        <v>女</v>
      </c>
      <c r="E771" s="7" t="str">
        <f>"460027199705123008"</f>
        <v>460027199705123008</v>
      </c>
      <c r="F771" s="7" t="str">
        <f>"琼台师范学院"</f>
        <v>琼台师范学院</v>
      </c>
      <c r="G771" s="7" t="str">
        <f t="shared" ref="G771:G777" si="321">"学前教育"</f>
        <v>学前教育</v>
      </c>
      <c r="H771" s="7" t="str">
        <f t="shared" ref="H771:H778" si="322">"专科"</f>
        <v>专科</v>
      </c>
      <c r="I771" s="7" t="str">
        <f t="shared" si="320"/>
        <v>幼儿园教师资格</v>
      </c>
    </row>
    <row r="772" customHeight="1" spans="1:9">
      <c r="A772" s="6">
        <v>770</v>
      </c>
      <c r="B772" s="7" t="s">
        <v>10</v>
      </c>
      <c r="C772" s="8" t="str">
        <f>"陈婷婷"</f>
        <v>陈婷婷</v>
      </c>
      <c r="D772" s="8" t="str">
        <f t="shared" si="312"/>
        <v>女</v>
      </c>
      <c r="E772" s="7" t="str">
        <f>"460033199211080025"</f>
        <v>460033199211080025</v>
      </c>
      <c r="F772" s="7" t="str">
        <f>"海口市琼台师范高等专科学校"</f>
        <v>海口市琼台师范高等专科学校</v>
      </c>
      <c r="G772" s="7" t="str">
        <f>"学前教育（英语方向）"</f>
        <v>学前教育（英语方向）</v>
      </c>
      <c r="H772" s="7" t="str">
        <f t="shared" si="322"/>
        <v>专科</v>
      </c>
      <c r="I772" s="7" t="str">
        <f t="shared" si="320"/>
        <v>幼儿园教师资格</v>
      </c>
    </row>
    <row r="773" customHeight="1" spans="1:9">
      <c r="A773" s="6">
        <v>771</v>
      </c>
      <c r="B773" s="7" t="s">
        <v>10</v>
      </c>
      <c r="C773" s="8" t="str">
        <f>"吴宝怡"</f>
        <v>吴宝怡</v>
      </c>
      <c r="D773" s="8" t="str">
        <f t="shared" si="312"/>
        <v>女</v>
      </c>
      <c r="E773" s="7" t="str">
        <f>"460033199508145985"</f>
        <v>460033199508145985</v>
      </c>
      <c r="F773" s="7" t="str">
        <f>"海南省琼台师范学院"</f>
        <v>海南省琼台师范学院</v>
      </c>
      <c r="G773" s="7" t="str">
        <f t="shared" si="321"/>
        <v>学前教育</v>
      </c>
      <c r="H773" s="7" t="str">
        <f t="shared" si="322"/>
        <v>专科</v>
      </c>
      <c r="I773" s="7" t="str">
        <f t="shared" si="320"/>
        <v>幼儿园教师资格</v>
      </c>
    </row>
    <row r="774" customHeight="1" spans="1:9">
      <c r="A774" s="6">
        <v>772</v>
      </c>
      <c r="B774" s="7" t="s">
        <v>10</v>
      </c>
      <c r="C774" s="8" t="str">
        <f>"符雅君"</f>
        <v>符雅君</v>
      </c>
      <c r="D774" s="8" t="str">
        <f t="shared" si="312"/>
        <v>女</v>
      </c>
      <c r="E774" s="7" t="str">
        <f>"460003199205217824"</f>
        <v>460003199205217824</v>
      </c>
      <c r="F774" s="7" t="str">
        <f>"琼台师范高等专科学校"</f>
        <v>琼台师范高等专科学校</v>
      </c>
      <c r="G774" s="7" t="str">
        <f t="shared" si="321"/>
        <v>学前教育</v>
      </c>
      <c r="H774" s="7" t="str">
        <f t="shared" si="322"/>
        <v>专科</v>
      </c>
      <c r="I774" s="7" t="str">
        <f t="shared" si="320"/>
        <v>幼儿园教师资格</v>
      </c>
    </row>
    <row r="775" customHeight="1" spans="1:9">
      <c r="A775" s="6">
        <v>773</v>
      </c>
      <c r="B775" s="7" t="s">
        <v>11</v>
      </c>
      <c r="C775" s="8" t="str">
        <f>"梁美欣"</f>
        <v>梁美欣</v>
      </c>
      <c r="D775" s="8" t="str">
        <f t="shared" si="312"/>
        <v>女</v>
      </c>
      <c r="E775" s="7" t="str">
        <f>"46000119901224222X"</f>
        <v>46000119901224222X</v>
      </c>
      <c r="F775" s="7" t="str">
        <f>"文山学院"</f>
        <v>文山学院</v>
      </c>
      <c r="G775" s="7" t="str">
        <f t="shared" si="321"/>
        <v>学前教育</v>
      </c>
      <c r="H775" s="7" t="str">
        <f t="shared" si="322"/>
        <v>专科</v>
      </c>
      <c r="I775" s="7" t="str">
        <f t="shared" si="320"/>
        <v>幼儿园教师资格</v>
      </c>
    </row>
    <row r="776" customHeight="1" spans="1:9">
      <c r="A776" s="6">
        <v>774</v>
      </c>
      <c r="B776" s="7" t="s">
        <v>10</v>
      </c>
      <c r="C776" s="8" t="str">
        <f>"罗祥始"</f>
        <v>罗祥始</v>
      </c>
      <c r="D776" s="8" t="str">
        <f t="shared" si="312"/>
        <v>女</v>
      </c>
      <c r="E776" s="7" t="str">
        <f>"460033199504034524"</f>
        <v>460033199504034524</v>
      </c>
      <c r="F776" s="7" t="str">
        <f>"海南热带海洋学院"</f>
        <v>海南热带海洋学院</v>
      </c>
      <c r="G776" s="7" t="str">
        <f t="shared" si="321"/>
        <v>学前教育</v>
      </c>
      <c r="H776" s="7" t="str">
        <f t="shared" si="322"/>
        <v>专科</v>
      </c>
      <c r="I776" s="7" t="str">
        <f t="shared" si="320"/>
        <v>幼儿园教师资格</v>
      </c>
    </row>
    <row r="777" customHeight="1" spans="1:9">
      <c r="A777" s="6">
        <v>775</v>
      </c>
      <c r="B777" s="7" t="s">
        <v>11</v>
      </c>
      <c r="C777" s="8" t="str">
        <f>"陈玉婷"</f>
        <v>陈玉婷</v>
      </c>
      <c r="D777" s="8" t="str">
        <f t="shared" si="312"/>
        <v>女</v>
      </c>
      <c r="E777" s="7" t="str">
        <f>"460001199303180524"</f>
        <v>460001199303180524</v>
      </c>
      <c r="F777" s="7" t="str">
        <f>"琼台师范学院"</f>
        <v>琼台师范学院</v>
      </c>
      <c r="G777" s="7" t="str">
        <f t="shared" si="321"/>
        <v>学前教育</v>
      </c>
      <c r="H777" s="7" t="str">
        <f t="shared" si="322"/>
        <v>专科</v>
      </c>
      <c r="I777" s="7" t="str">
        <f t="shared" si="320"/>
        <v>幼儿园教师资格</v>
      </c>
    </row>
    <row r="778" customHeight="1" spans="1:9">
      <c r="A778" s="6">
        <v>776</v>
      </c>
      <c r="B778" s="7" t="s">
        <v>11</v>
      </c>
      <c r="C778" s="8" t="str">
        <f>"邢丽满"</f>
        <v>邢丽满</v>
      </c>
      <c r="D778" s="8" t="str">
        <f t="shared" si="312"/>
        <v>女</v>
      </c>
      <c r="E778" s="7" t="str">
        <f>"460033199607093228"</f>
        <v>460033199607093228</v>
      </c>
      <c r="F778" s="7" t="str">
        <f>"琼台师范学院"</f>
        <v>琼台师范学院</v>
      </c>
      <c r="G778" s="7" t="str">
        <f>"学前教育（英语教育方向）"</f>
        <v>学前教育（英语教育方向）</v>
      </c>
      <c r="H778" s="7" t="str">
        <f t="shared" si="322"/>
        <v>专科</v>
      </c>
      <c r="I778" s="7" t="str">
        <f t="shared" si="320"/>
        <v>幼儿园教师资格</v>
      </c>
    </row>
    <row r="779" customHeight="1" spans="1:9">
      <c r="A779" s="6">
        <v>777</v>
      </c>
      <c r="B779" s="7" t="s">
        <v>11</v>
      </c>
      <c r="C779" s="8" t="str">
        <f>"肖虹"</f>
        <v>肖虹</v>
      </c>
      <c r="D779" s="8" t="str">
        <f t="shared" si="312"/>
        <v>女</v>
      </c>
      <c r="E779" s="7" t="str">
        <f>"460006199508121669"</f>
        <v>460006199508121669</v>
      </c>
      <c r="F779" s="7" t="str">
        <f>"南宁师范大学师园学院"</f>
        <v>南宁师范大学师园学院</v>
      </c>
      <c r="G779" s="7" t="str">
        <f t="shared" ref="G779:G786" si="323">"学前教育"</f>
        <v>学前教育</v>
      </c>
      <c r="H779" s="7" t="str">
        <f t="shared" ref="H779:H781" si="324">"本科"</f>
        <v>本科</v>
      </c>
      <c r="I779" s="7" t="str">
        <f t="shared" si="320"/>
        <v>幼儿园教师资格</v>
      </c>
    </row>
    <row r="780" customHeight="1" spans="1:9">
      <c r="A780" s="6">
        <v>778</v>
      </c>
      <c r="B780" s="7" t="s">
        <v>11</v>
      </c>
      <c r="C780" s="8" t="str">
        <f>"谭小霞"</f>
        <v>谭小霞</v>
      </c>
      <c r="D780" s="8" t="str">
        <f t="shared" si="312"/>
        <v>女</v>
      </c>
      <c r="E780" s="7" t="str">
        <f>"460035199508213020"</f>
        <v>460035199508213020</v>
      </c>
      <c r="F780" s="7" t="str">
        <f>"贵州师范大学求是学院"</f>
        <v>贵州师范大学求是学院</v>
      </c>
      <c r="G780" s="7" t="str">
        <f>"学前教育专业"</f>
        <v>学前教育专业</v>
      </c>
      <c r="H780" s="7" t="str">
        <f t="shared" si="324"/>
        <v>本科</v>
      </c>
      <c r="I780" s="7" t="str">
        <f t="shared" si="320"/>
        <v>幼儿园教师资格</v>
      </c>
    </row>
    <row r="781" customHeight="1" spans="1:9">
      <c r="A781" s="6">
        <v>779</v>
      </c>
      <c r="B781" s="7" t="s">
        <v>10</v>
      </c>
      <c r="C781" s="8" t="str">
        <f>"吴小慧"</f>
        <v>吴小慧</v>
      </c>
      <c r="D781" s="8" t="str">
        <f t="shared" si="312"/>
        <v>女</v>
      </c>
      <c r="E781" s="7" t="str">
        <f>"460004199305125229"</f>
        <v>460004199305125229</v>
      </c>
      <c r="F781" s="7" t="str">
        <f>"山西师范大学"</f>
        <v>山西师范大学</v>
      </c>
      <c r="G781" s="7" t="str">
        <f t="shared" si="323"/>
        <v>学前教育</v>
      </c>
      <c r="H781" s="7" t="str">
        <f t="shared" si="324"/>
        <v>本科</v>
      </c>
      <c r="I781" s="7" t="str">
        <f t="shared" si="320"/>
        <v>幼儿园教师资格</v>
      </c>
    </row>
    <row r="782" customHeight="1" spans="1:9">
      <c r="A782" s="6">
        <v>780</v>
      </c>
      <c r="B782" s="7" t="s">
        <v>10</v>
      </c>
      <c r="C782" s="8" t="str">
        <f>"苏冬梅"</f>
        <v>苏冬梅</v>
      </c>
      <c r="D782" s="8" t="str">
        <f t="shared" si="312"/>
        <v>女</v>
      </c>
      <c r="E782" s="7" t="str">
        <f>"460003199710083820"</f>
        <v>460003199710083820</v>
      </c>
      <c r="F782" s="7" t="str">
        <f>"海南热带海洋学院"</f>
        <v>海南热带海洋学院</v>
      </c>
      <c r="G782" s="7" t="str">
        <f t="shared" si="323"/>
        <v>学前教育</v>
      </c>
      <c r="H782" s="7" t="str">
        <f t="shared" ref="H782:H790" si="325">"专科"</f>
        <v>专科</v>
      </c>
      <c r="I782" s="7" t="str">
        <f t="shared" si="320"/>
        <v>幼儿园教师资格</v>
      </c>
    </row>
    <row r="783" customHeight="1" spans="1:9">
      <c r="A783" s="6">
        <v>781</v>
      </c>
      <c r="B783" s="7" t="s">
        <v>12</v>
      </c>
      <c r="C783" s="8" t="str">
        <f>"梁丽才"</f>
        <v>梁丽才</v>
      </c>
      <c r="D783" s="8" t="str">
        <f t="shared" si="312"/>
        <v>女</v>
      </c>
      <c r="E783" s="7" t="str">
        <f>"460004199512130645"</f>
        <v>460004199512130645</v>
      </c>
      <c r="F783" s="7" t="str">
        <f t="shared" ref="F783:F785" si="326">"琼台师范学院"</f>
        <v>琼台师范学院</v>
      </c>
      <c r="G783" s="7" t="str">
        <f t="shared" si="323"/>
        <v>学前教育</v>
      </c>
      <c r="H783" s="7" t="str">
        <f t="shared" si="325"/>
        <v>专科</v>
      </c>
      <c r="I783" s="7" t="str">
        <f t="shared" si="320"/>
        <v>幼儿园教师资格</v>
      </c>
    </row>
    <row r="784" customHeight="1" spans="1:9">
      <c r="A784" s="6">
        <v>782</v>
      </c>
      <c r="B784" s="7" t="s">
        <v>10</v>
      </c>
      <c r="C784" s="8" t="str">
        <f>"陈荣蕊"</f>
        <v>陈荣蕊</v>
      </c>
      <c r="D784" s="8" t="str">
        <f t="shared" si="312"/>
        <v>女</v>
      </c>
      <c r="E784" s="7" t="str">
        <f>"460033199507253888"</f>
        <v>460033199507253888</v>
      </c>
      <c r="F784" s="7" t="str">
        <f t="shared" si="326"/>
        <v>琼台师范学院</v>
      </c>
      <c r="G784" s="7" t="str">
        <f t="shared" si="323"/>
        <v>学前教育</v>
      </c>
      <c r="H784" s="7" t="str">
        <f t="shared" si="325"/>
        <v>专科</v>
      </c>
      <c r="I784" s="7" t="str">
        <f t="shared" si="320"/>
        <v>幼儿园教师资格</v>
      </c>
    </row>
    <row r="785" customHeight="1" spans="1:9">
      <c r="A785" s="6">
        <v>783</v>
      </c>
      <c r="B785" s="7" t="s">
        <v>10</v>
      </c>
      <c r="C785" s="8" t="str">
        <f>"秦澜芯"</f>
        <v>秦澜芯</v>
      </c>
      <c r="D785" s="8" t="str">
        <f t="shared" si="312"/>
        <v>女</v>
      </c>
      <c r="E785" s="7" t="str">
        <f>"460025199202193028"</f>
        <v>460025199202193028</v>
      </c>
      <c r="F785" s="7" t="str">
        <f t="shared" si="326"/>
        <v>琼台师范学院</v>
      </c>
      <c r="G785" s="7" t="str">
        <f t="shared" si="323"/>
        <v>学前教育</v>
      </c>
      <c r="H785" s="7" t="str">
        <f t="shared" si="325"/>
        <v>专科</v>
      </c>
      <c r="I785" s="7" t="str">
        <f t="shared" si="320"/>
        <v>幼儿园教师资格</v>
      </c>
    </row>
    <row r="786" customHeight="1" spans="1:9">
      <c r="A786" s="6">
        <v>784</v>
      </c>
      <c r="B786" s="7" t="s">
        <v>10</v>
      </c>
      <c r="C786" s="8" t="str">
        <f>"李维静"</f>
        <v>李维静</v>
      </c>
      <c r="D786" s="8" t="str">
        <f t="shared" si="312"/>
        <v>女</v>
      </c>
      <c r="E786" s="7" t="str">
        <f>"460007199208137649"</f>
        <v>460007199208137649</v>
      </c>
      <c r="F786" s="7" t="str">
        <f>"渭南职业技术学院"</f>
        <v>渭南职业技术学院</v>
      </c>
      <c r="G786" s="7" t="str">
        <f t="shared" si="323"/>
        <v>学前教育</v>
      </c>
      <c r="H786" s="7" t="str">
        <f t="shared" si="325"/>
        <v>专科</v>
      </c>
      <c r="I786" s="7" t="str">
        <f t="shared" si="320"/>
        <v>幼儿园教师资格</v>
      </c>
    </row>
    <row r="787" customHeight="1" spans="1:9">
      <c r="A787" s="6">
        <v>785</v>
      </c>
      <c r="B787" s="7" t="s">
        <v>12</v>
      </c>
      <c r="C787" s="8" t="str">
        <f>"符燕春"</f>
        <v>符燕春</v>
      </c>
      <c r="D787" s="8" t="str">
        <f t="shared" si="312"/>
        <v>女</v>
      </c>
      <c r="E787" s="7" t="str">
        <f>"460003199106101420"</f>
        <v>460003199106101420</v>
      </c>
      <c r="F787" s="7" t="str">
        <f>"琼州学院"</f>
        <v>琼州学院</v>
      </c>
      <c r="G787" s="7" t="str">
        <f>"学前教育（师范）专业"</f>
        <v>学前教育（师范）专业</v>
      </c>
      <c r="H787" s="7" t="str">
        <f t="shared" si="325"/>
        <v>专科</v>
      </c>
      <c r="I787" s="7" t="str">
        <f t="shared" si="320"/>
        <v>幼儿园教师资格</v>
      </c>
    </row>
    <row r="788" customHeight="1" spans="1:9">
      <c r="A788" s="6">
        <v>786</v>
      </c>
      <c r="B788" s="7" t="s">
        <v>10</v>
      </c>
      <c r="C788" s="8" t="str">
        <f>"王健"</f>
        <v>王健</v>
      </c>
      <c r="D788" s="8" t="str">
        <f t="shared" si="312"/>
        <v>女</v>
      </c>
      <c r="E788" s="7" t="str">
        <f>"460025199801200023"</f>
        <v>460025199801200023</v>
      </c>
      <c r="F788" s="7" t="str">
        <f t="shared" ref="F788:F793" si="327">"琼台师范学院"</f>
        <v>琼台师范学院</v>
      </c>
      <c r="G788" s="7" t="str">
        <f t="shared" ref="G788:G792" si="328">"学前教育"</f>
        <v>学前教育</v>
      </c>
      <c r="H788" s="7" t="str">
        <f t="shared" si="325"/>
        <v>专科</v>
      </c>
      <c r="I788" s="7" t="str">
        <f t="shared" si="320"/>
        <v>幼儿园教师资格</v>
      </c>
    </row>
    <row r="789" customHeight="1" spans="1:9">
      <c r="A789" s="6">
        <v>787</v>
      </c>
      <c r="B789" s="7" t="s">
        <v>11</v>
      </c>
      <c r="C789" s="8" t="str">
        <f>"邱名杨"</f>
        <v>邱名杨</v>
      </c>
      <c r="D789" s="8" t="str">
        <f t="shared" si="312"/>
        <v>女</v>
      </c>
      <c r="E789" s="7" t="str">
        <f>"460027199806061328"</f>
        <v>460027199806061328</v>
      </c>
      <c r="F789" s="7" t="str">
        <f>"海南热带海洋学院"</f>
        <v>海南热带海洋学院</v>
      </c>
      <c r="G789" s="7" t="str">
        <f>"学前教育（数学方向）"</f>
        <v>学前教育（数学方向）</v>
      </c>
      <c r="H789" s="7" t="str">
        <f t="shared" si="325"/>
        <v>专科</v>
      </c>
      <c r="I789" s="7" t="str">
        <f t="shared" si="320"/>
        <v>幼儿园教师资格</v>
      </c>
    </row>
    <row r="790" customHeight="1" spans="1:9">
      <c r="A790" s="6">
        <v>788</v>
      </c>
      <c r="B790" s="7" t="s">
        <v>10</v>
      </c>
      <c r="C790" s="8" t="str">
        <f>"文晓满"</f>
        <v>文晓满</v>
      </c>
      <c r="D790" s="8" t="str">
        <f t="shared" si="312"/>
        <v>女</v>
      </c>
      <c r="E790" s="7" t="str">
        <f>"460007199502065025"</f>
        <v>460007199502065025</v>
      </c>
      <c r="F790" s="7" t="str">
        <f>"海南热带海洋学院"</f>
        <v>海南热带海洋学院</v>
      </c>
      <c r="G790" s="7" t="str">
        <f t="shared" si="328"/>
        <v>学前教育</v>
      </c>
      <c r="H790" s="7" t="str">
        <f t="shared" si="325"/>
        <v>专科</v>
      </c>
      <c r="I790" s="7" t="str">
        <f t="shared" si="320"/>
        <v>幼儿园教师资格</v>
      </c>
    </row>
    <row r="791" customHeight="1" spans="1:9">
      <c r="A791" s="6">
        <v>789</v>
      </c>
      <c r="B791" s="7" t="s">
        <v>11</v>
      </c>
      <c r="C791" s="8" t="str">
        <f>"宋晓丽"</f>
        <v>宋晓丽</v>
      </c>
      <c r="D791" s="8" t="str">
        <f t="shared" si="312"/>
        <v>女</v>
      </c>
      <c r="E791" s="7" t="str">
        <f>"460028199310272427"</f>
        <v>460028199310272427</v>
      </c>
      <c r="F791" s="7" t="str">
        <f t="shared" si="327"/>
        <v>琼台师范学院</v>
      </c>
      <c r="G791" s="7" t="str">
        <f t="shared" si="328"/>
        <v>学前教育</v>
      </c>
      <c r="H791" s="7" t="str">
        <f>"专科(高职)"</f>
        <v>专科(高职)</v>
      </c>
      <c r="I791" s="7" t="str">
        <f t="shared" si="320"/>
        <v>幼儿园教师资格</v>
      </c>
    </row>
    <row r="792" customHeight="1" spans="1:9">
      <c r="A792" s="6">
        <v>790</v>
      </c>
      <c r="B792" s="7" t="s">
        <v>12</v>
      </c>
      <c r="C792" s="8" t="str">
        <f>"吴丽新"</f>
        <v>吴丽新</v>
      </c>
      <c r="D792" s="8" t="str">
        <f t="shared" si="312"/>
        <v>女</v>
      </c>
      <c r="E792" s="7" t="str">
        <f>"460103199412163027"</f>
        <v>460103199412163027</v>
      </c>
      <c r="F792" s="7" t="str">
        <f t="shared" si="327"/>
        <v>琼台师范学院</v>
      </c>
      <c r="G792" s="7" t="str">
        <f t="shared" si="328"/>
        <v>学前教育</v>
      </c>
      <c r="H792" s="7" t="str">
        <f t="shared" ref="H792:H795" si="329">"专科"</f>
        <v>专科</v>
      </c>
      <c r="I792" s="7" t="str">
        <f t="shared" si="320"/>
        <v>幼儿园教师资格</v>
      </c>
    </row>
    <row r="793" customHeight="1" spans="1:9">
      <c r="A793" s="6">
        <v>791</v>
      </c>
      <c r="B793" s="7" t="s">
        <v>12</v>
      </c>
      <c r="C793" s="8" t="str">
        <f>"庄海新"</f>
        <v>庄海新</v>
      </c>
      <c r="D793" s="8" t="str">
        <f t="shared" si="312"/>
        <v>女</v>
      </c>
      <c r="E793" s="7" t="str">
        <f>"460103199510012724"</f>
        <v>460103199510012724</v>
      </c>
      <c r="F793" s="7" t="str">
        <f t="shared" si="327"/>
        <v>琼台师范学院</v>
      </c>
      <c r="G793" s="7" t="str">
        <f>"学前教育（英语方向）"</f>
        <v>学前教育（英语方向）</v>
      </c>
      <c r="H793" s="7" t="str">
        <f t="shared" si="329"/>
        <v>专科</v>
      </c>
      <c r="I793" s="7" t="str">
        <f t="shared" si="320"/>
        <v>幼儿园教师资格</v>
      </c>
    </row>
    <row r="794" customHeight="1" spans="1:9">
      <c r="A794" s="6">
        <v>792</v>
      </c>
      <c r="B794" s="7" t="s">
        <v>12</v>
      </c>
      <c r="C794" s="8" t="str">
        <f>"陈盛坤"</f>
        <v>陈盛坤</v>
      </c>
      <c r="D794" s="8" t="str">
        <f t="shared" si="312"/>
        <v>女</v>
      </c>
      <c r="E794" s="7" t="str">
        <f>"460031199009136424"</f>
        <v>460031199009136424</v>
      </c>
      <c r="F794" s="7" t="str">
        <f>"琼台师范高等专科学校"</f>
        <v>琼台师范高等专科学校</v>
      </c>
      <c r="G794" s="7" t="str">
        <f t="shared" ref="G794:G798" si="330">"学前教育"</f>
        <v>学前教育</v>
      </c>
      <c r="H794" s="7" t="str">
        <f t="shared" si="329"/>
        <v>专科</v>
      </c>
      <c r="I794" s="7" t="str">
        <f t="shared" si="320"/>
        <v>幼儿园教师资格</v>
      </c>
    </row>
    <row r="795" customHeight="1" spans="1:9">
      <c r="A795" s="6">
        <v>793</v>
      </c>
      <c r="B795" s="7" t="s">
        <v>10</v>
      </c>
      <c r="C795" s="8" t="str">
        <f>"李力莉"</f>
        <v>李力莉</v>
      </c>
      <c r="D795" s="8" t="str">
        <f t="shared" si="312"/>
        <v>女</v>
      </c>
      <c r="E795" s="7" t="str">
        <f>"460003199509120466"</f>
        <v>460003199509120466</v>
      </c>
      <c r="F795" s="7" t="str">
        <f t="shared" ref="F795:F800" si="331">"琼台师范学院"</f>
        <v>琼台师范学院</v>
      </c>
      <c r="G795" s="7" t="str">
        <f>"学前教育（英语教育方向）"</f>
        <v>学前教育（英语教育方向）</v>
      </c>
      <c r="H795" s="7" t="str">
        <f t="shared" si="329"/>
        <v>专科</v>
      </c>
      <c r="I795" s="7" t="str">
        <f t="shared" si="320"/>
        <v>幼儿园教师资格</v>
      </c>
    </row>
    <row r="796" customHeight="1" spans="1:9">
      <c r="A796" s="6">
        <v>794</v>
      </c>
      <c r="B796" s="7" t="s">
        <v>11</v>
      </c>
      <c r="C796" s="8" t="str">
        <f>"罗婕"</f>
        <v>罗婕</v>
      </c>
      <c r="D796" s="8" t="str">
        <f t="shared" si="312"/>
        <v>女</v>
      </c>
      <c r="E796" s="7" t="str">
        <f>"46010319940214122X"</f>
        <v>46010319940214122X</v>
      </c>
      <c r="F796" s="7" t="str">
        <f>"海南师范大学"</f>
        <v>海南师范大学</v>
      </c>
      <c r="G796" s="7" t="str">
        <f>"学前教育系"</f>
        <v>学前教育系</v>
      </c>
      <c r="H796" s="7" t="str">
        <f>"本科"</f>
        <v>本科</v>
      </c>
      <c r="I796" s="7" t="str">
        <f t="shared" si="320"/>
        <v>幼儿园教师资格</v>
      </c>
    </row>
    <row r="797" customHeight="1" spans="1:9">
      <c r="A797" s="6">
        <v>795</v>
      </c>
      <c r="B797" s="7" t="s">
        <v>10</v>
      </c>
      <c r="C797" s="8" t="str">
        <f>"刘梦鹃"</f>
        <v>刘梦鹃</v>
      </c>
      <c r="D797" s="8" t="str">
        <f t="shared" si="312"/>
        <v>女</v>
      </c>
      <c r="E797" s="7" t="str">
        <f>"460006199402234024"</f>
        <v>460006199402234024</v>
      </c>
      <c r="F797" s="7" t="str">
        <f>"湖南师范大学"</f>
        <v>湖南师范大学</v>
      </c>
      <c r="G797" s="7" t="str">
        <f t="shared" si="330"/>
        <v>学前教育</v>
      </c>
      <c r="H797" s="7" t="str">
        <f t="shared" ref="H797:H800" si="332">"专科"</f>
        <v>专科</v>
      </c>
      <c r="I797" s="7" t="str">
        <f t="shared" si="320"/>
        <v>幼儿园教师资格</v>
      </c>
    </row>
    <row r="798" customHeight="1" spans="1:9">
      <c r="A798" s="6">
        <v>796</v>
      </c>
      <c r="B798" s="7" t="s">
        <v>12</v>
      </c>
      <c r="C798" s="8" t="str">
        <f>"罗盛榆"</f>
        <v>罗盛榆</v>
      </c>
      <c r="D798" s="8" t="str">
        <f t="shared" si="312"/>
        <v>女</v>
      </c>
      <c r="E798" s="7" t="str">
        <f>"460033199706184803"</f>
        <v>460033199706184803</v>
      </c>
      <c r="F798" s="7" t="str">
        <f t="shared" si="331"/>
        <v>琼台师范学院</v>
      </c>
      <c r="G798" s="7" t="str">
        <f t="shared" si="330"/>
        <v>学前教育</v>
      </c>
      <c r="H798" s="7" t="str">
        <f t="shared" si="332"/>
        <v>专科</v>
      </c>
      <c r="I798" s="7" t="str">
        <f t="shared" si="320"/>
        <v>幼儿园教师资格</v>
      </c>
    </row>
    <row r="799" customHeight="1" spans="1:9">
      <c r="A799" s="6">
        <v>797</v>
      </c>
      <c r="B799" s="7" t="s">
        <v>12</v>
      </c>
      <c r="C799" s="8" t="str">
        <f>"陈艳"</f>
        <v>陈艳</v>
      </c>
      <c r="D799" s="8" t="str">
        <f t="shared" si="312"/>
        <v>女</v>
      </c>
      <c r="E799" s="7" t="str">
        <f>"460031199609056823"</f>
        <v>460031199609056823</v>
      </c>
      <c r="F799" s="7" t="str">
        <f t="shared" si="331"/>
        <v>琼台师范学院</v>
      </c>
      <c r="G799" s="7" t="str">
        <f>"学前教育（英语方向）"</f>
        <v>学前教育（英语方向）</v>
      </c>
      <c r="H799" s="7" t="str">
        <f t="shared" si="332"/>
        <v>专科</v>
      </c>
      <c r="I799" s="7" t="str">
        <f t="shared" si="320"/>
        <v>幼儿园教师资格</v>
      </c>
    </row>
    <row r="800" customHeight="1" spans="1:9">
      <c r="A800" s="6">
        <v>798</v>
      </c>
      <c r="B800" s="7" t="s">
        <v>11</v>
      </c>
      <c r="C800" s="8" t="str">
        <f>"符释文"</f>
        <v>符释文</v>
      </c>
      <c r="D800" s="8" t="str">
        <f t="shared" si="312"/>
        <v>女</v>
      </c>
      <c r="E800" s="7" t="str">
        <f>"460026199709132423"</f>
        <v>460026199709132423</v>
      </c>
      <c r="F800" s="7" t="str">
        <f t="shared" si="331"/>
        <v>琼台师范学院</v>
      </c>
      <c r="G800" s="7" t="str">
        <f t="shared" ref="G800:G803" si="333">"学前教育"</f>
        <v>学前教育</v>
      </c>
      <c r="H800" s="7" t="str">
        <f t="shared" si="332"/>
        <v>专科</v>
      </c>
      <c r="I800" s="7" t="str">
        <f t="shared" si="320"/>
        <v>幼儿园教师资格</v>
      </c>
    </row>
    <row r="801" customHeight="1" spans="1:9">
      <c r="A801" s="6">
        <v>799</v>
      </c>
      <c r="B801" s="7" t="s">
        <v>10</v>
      </c>
      <c r="C801" s="8" t="str">
        <f>"符丽春"</f>
        <v>符丽春</v>
      </c>
      <c r="D801" s="8" t="str">
        <f t="shared" si="312"/>
        <v>女</v>
      </c>
      <c r="E801" s="7" t="str">
        <f>"46030019940123002X"</f>
        <v>46030019940123002X</v>
      </c>
      <c r="F801" s="7" t="str">
        <f>"河北省廊坊师范学院"</f>
        <v>河北省廊坊师范学院</v>
      </c>
      <c r="G801" s="7" t="str">
        <f t="shared" si="333"/>
        <v>学前教育</v>
      </c>
      <c r="H801" s="7" t="str">
        <f>"本科"</f>
        <v>本科</v>
      </c>
      <c r="I801" s="7" t="str">
        <f t="shared" si="320"/>
        <v>幼儿园教师资格</v>
      </c>
    </row>
    <row r="802" customHeight="1" spans="1:9">
      <c r="A802" s="6">
        <v>800</v>
      </c>
      <c r="B802" s="7" t="s">
        <v>11</v>
      </c>
      <c r="C802" s="8" t="str">
        <f>"许丽英"</f>
        <v>许丽英</v>
      </c>
      <c r="D802" s="8" t="str">
        <f t="shared" si="312"/>
        <v>女</v>
      </c>
      <c r="E802" s="7" t="str">
        <f>"46000319920423282X"</f>
        <v>46000319920423282X</v>
      </c>
      <c r="F802" s="7" t="str">
        <f>"海南热带海洋学院"</f>
        <v>海南热带海洋学院</v>
      </c>
      <c r="G802" s="7" t="str">
        <f t="shared" si="333"/>
        <v>学前教育</v>
      </c>
      <c r="H802" s="7" t="str">
        <f t="shared" ref="H802:H807" si="334">"专科"</f>
        <v>专科</v>
      </c>
      <c r="I802" s="7" t="str">
        <f t="shared" si="320"/>
        <v>幼儿园教师资格</v>
      </c>
    </row>
    <row r="803" customHeight="1" spans="1:9">
      <c r="A803" s="6">
        <v>801</v>
      </c>
      <c r="B803" s="7" t="s">
        <v>11</v>
      </c>
      <c r="C803" s="8" t="str">
        <f>"吴丽平"</f>
        <v>吴丽平</v>
      </c>
      <c r="D803" s="8" t="str">
        <f t="shared" si="312"/>
        <v>女</v>
      </c>
      <c r="E803" s="7" t="str">
        <f>"460022199706253523"</f>
        <v>460022199706253523</v>
      </c>
      <c r="F803" s="7" t="str">
        <f>"鄂州职业大学"</f>
        <v>鄂州职业大学</v>
      </c>
      <c r="G803" s="7" t="str">
        <f t="shared" si="333"/>
        <v>学前教育</v>
      </c>
      <c r="H803" s="7" t="str">
        <f t="shared" si="334"/>
        <v>专科</v>
      </c>
      <c r="I803" s="7" t="str">
        <f t="shared" si="320"/>
        <v>幼儿园教师资格</v>
      </c>
    </row>
    <row r="804" customHeight="1" spans="1:9">
      <c r="A804" s="6">
        <v>802</v>
      </c>
      <c r="B804" s="7" t="s">
        <v>10</v>
      </c>
      <c r="C804" s="8" t="str">
        <f>"张惠"</f>
        <v>张惠</v>
      </c>
      <c r="D804" s="8" t="str">
        <f t="shared" si="312"/>
        <v>女</v>
      </c>
      <c r="E804" s="7" t="str">
        <f>"460028199206090025"</f>
        <v>460028199206090025</v>
      </c>
      <c r="F804" s="7" t="str">
        <f>"琼台示范高等专科学院"</f>
        <v>琼台示范高等专科学院</v>
      </c>
      <c r="G804" s="7" t="str">
        <f>"学前教育（英语方向）"</f>
        <v>学前教育（英语方向）</v>
      </c>
      <c r="H804" s="7" t="str">
        <f t="shared" si="334"/>
        <v>专科</v>
      </c>
      <c r="I804" s="7" t="str">
        <f t="shared" si="320"/>
        <v>幼儿园教师资格</v>
      </c>
    </row>
    <row r="805" customHeight="1" spans="1:9">
      <c r="A805" s="6">
        <v>803</v>
      </c>
      <c r="B805" s="7" t="s">
        <v>11</v>
      </c>
      <c r="C805" s="8" t="str">
        <f>"陈玉"</f>
        <v>陈玉</v>
      </c>
      <c r="D805" s="8" t="str">
        <f t="shared" si="312"/>
        <v>女</v>
      </c>
      <c r="E805" s="7" t="str">
        <f>"460028199503155622"</f>
        <v>460028199503155622</v>
      </c>
      <c r="F805" s="7" t="str">
        <f>"海南师范大学"</f>
        <v>海南师范大学</v>
      </c>
      <c r="G805" s="7" t="str">
        <f t="shared" ref="G805:G819" si="335">"学前教育"</f>
        <v>学前教育</v>
      </c>
      <c r="H805" s="7" t="str">
        <f t="shared" si="334"/>
        <v>专科</v>
      </c>
      <c r="I805" s="7" t="str">
        <f t="shared" si="320"/>
        <v>幼儿园教师资格</v>
      </c>
    </row>
    <row r="806" customHeight="1" spans="1:9">
      <c r="A806" s="6">
        <v>804</v>
      </c>
      <c r="B806" s="7" t="s">
        <v>10</v>
      </c>
      <c r="C806" s="8" t="str">
        <f>"符晓丹"</f>
        <v>符晓丹</v>
      </c>
      <c r="D806" s="8" t="str">
        <f t="shared" si="312"/>
        <v>女</v>
      </c>
      <c r="E806" s="7" t="str">
        <f>"460007199405186829"</f>
        <v>460007199405186829</v>
      </c>
      <c r="F806" s="7" t="str">
        <f>"热带海洋学院"</f>
        <v>热带海洋学院</v>
      </c>
      <c r="G806" s="7" t="str">
        <f t="shared" si="335"/>
        <v>学前教育</v>
      </c>
      <c r="H806" s="7" t="str">
        <f t="shared" si="334"/>
        <v>专科</v>
      </c>
      <c r="I806" s="7" t="str">
        <f t="shared" si="320"/>
        <v>幼儿园教师资格</v>
      </c>
    </row>
    <row r="807" customHeight="1" spans="1:9">
      <c r="A807" s="6">
        <v>805</v>
      </c>
      <c r="B807" s="7" t="s">
        <v>10</v>
      </c>
      <c r="C807" s="8" t="str">
        <f>"林小慧"</f>
        <v>林小慧</v>
      </c>
      <c r="D807" s="8" t="str">
        <f t="shared" si="312"/>
        <v>女</v>
      </c>
      <c r="E807" s="7" t="str">
        <f>"460006199506170643"</f>
        <v>460006199506170643</v>
      </c>
      <c r="F807" s="7" t="str">
        <f t="shared" ref="F807:F810" si="336">"海南热带海洋学院"</f>
        <v>海南热带海洋学院</v>
      </c>
      <c r="G807" s="7" t="str">
        <f t="shared" si="335"/>
        <v>学前教育</v>
      </c>
      <c r="H807" s="7" t="str">
        <f t="shared" si="334"/>
        <v>专科</v>
      </c>
      <c r="I807" s="7" t="str">
        <f t="shared" si="320"/>
        <v>幼儿园教师资格</v>
      </c>
    </row>
    <row r="808" customHeight="1" spans="1:9">
      <c r="A808" s="6">
        <v>806</v>
      </c>
      <c r="B808" s="7" t="s">
        <v>10</v>
      </c>
      <c r="C808" s="8" t="str">
        <f>"郑文竹"</f>
        <v>郑文竹</v>
      </c>
      <c r="D808" s="8" t="str">
        <f t="shared" si="312"/>
        <v>女</v>
      </c>
      <c r="E808" s="7" t="str">
        <f>"46000419941003226X"</f>
        <v>46000419941003226X</v>
      </c>
      <c r="F808" s="7" t="str">
        <f t="shared" si="336"/>
        <v>海南热带海洋学院</v>
      </c>
      <c r="G808" s="7" t="str">
        <f t="shared" si="335"/>
        <v>学前教育</v>
      </c>
      <c r="H808" s="7" t="str">
        <f>"本科"</f>
        <v>本科</v>
      </c>
      <c r="I808" s="7" t="str">
        <f t="shared" si="320"/>
        <v>幼儿园教师资格</v>
      </c>
    </row>
    <row r="809" customHeight="1" spans="1:9">
      <c r="A809" s="6">
        <v>807</v>
      </c>
      <c r="B809" s="7" t="s">
        <v>11</v>
      </c>
      <c r="C809" s="8" t="str">
        <f>"陈淑兰"</f>
        <v>陈淑兰</v>
      </c>
      <c r="D809" s="8" t="str">
        <f t="shared" si="312"/>
        <v>女</v>
      </c>
      <c r="E809" s="7" t="str">
        <f>"460003199112102841"</f>
        <v>460003199112102841</v>
      </c>
      <c r="F809" s="7" t="str">
        <f>"琼台师范高等专科学校"</f>
        <v>琼台师范高等专科学校</v>
      </c>
      <c r="G809" s="7" t="str">
        <f t="shared" si="335"/>
        <v>学前教育</v>
      </c>
      <c r="H809" s="7" t="str">
        <f t="shared" ref="H809:H813" si="337">"专科"</f>
        <v>专科</v>
      </c>
      <c r="I809" s="7" t="str">
        <f t="shared" si="320"/>
        <v>幼儿园教师资格</v>
      </c>
    </row>
    <row r="810" customHeight="1" spans="1:9">
      <c r="A810" s="6">
        <v>808</v>
      </c>
      <c r="B810" s="7" t="s">
        <v>10</v>
      </c>
      <c r="C810" s="8" t="str">
        <f>"杨婷钰"</f>
        <v>杨婷钰</v>
      </c>
      <c r="D810" s="8" t="str">
        <f t="shared" si="312"/>
        <v>女</v>
      </c>
      <c r="E810" s="7" t="str">
        <f>"460027199802237023"</f>
        <v>460027199802237023</v>
      </c>
      <c r="F810" s="7" t="str">
        <f t="shared" si="336"/>
        <v>海南热带海洋学院</v>
      </c>
      <c r="G810" s="7" t="str">
        <f t="shared" si="335"/>
        <v>学前教育</v>
      </c>
      <c r="H810" s="7" t="str">
        <f t="shared" si="337"/>
        <v>专科</v>
      </c>
      <c r="I810" s="7" t="str">
        <f t="shared" si="320"/>
        <v>幼儿园教师资格</v>
      </c>
    </row>
    <row r="811" customHeight="1" spans="1:9">
      <c r="A811" s="6">
        <v>809</v>
      </c>
      <c r="B811" s="7" t="s">
        <v>10</v>
      </c>
      <c r="C811" s="8" t="str">
        <f>"符海云"</f>
        <v>符海云</v>
      </c>
      <c r="D811" s="8" t="str">
        <f t="shared" si="312"/>
        <v>女</v>
      </c>
      <c r="E811" s="7" t="str">
        <f>"460026199511052428"</f>
        <v>460026199511052428</v>
      </c>
      <c r="F811" s="7" t="str">
        <f>"太原师范学院"</f>
        <v>太原师范学院</v>
      </c>
      <c r="G811" s="7" t="str">
        <f t="shared" si="335"/>
        <v>学前教育</v>
      </c>
      <c r="H811" s="7" t="str">
        <f>"本科"</f>
        <v>本科</v>
      </c>
      <c r="I811" s="7" t="str">
        <f t="shared" si="320"/>
        <v>幼儿园教师资格</v>
      </c>
    </row>
    <row r="812" customHeight="1" spans="1:9">
      <c r="A812" s="6">
        <v>810</v>
      </c>
      <c r="B812" s="7" t="s">
        <v>12</v>
      </c>
      <c r="C812" s="8" t="str">
        <f>"吴雅贤"</f>
        <v>吴雅贤</v>
      </c>
      <c r="D812" s="8" t="str">
        <f t="shared" si="312"/>
        <v>女</v>
      </c>
      <c r="E812" s="7" t="str">
        <f>"460004199804025425"</f>
        <v>460004199804025425</v>
      </c>
      <c r="F812" s="7" t="str">
        <f>"琼台师范学院"</f>
        <v>琼台师范学院</v>
      </c>
      <c r="G812" s="7" t="str">
        <f t="shared" si="335"/>
        <v>学前教育</v>
      </c>
      <c r="H812" s="7" t="str">
        <f t="shared" si="337"/>
        <v>专科</v>
      </c>
      <c r="I812" s="7" t="str">
        <f t="shared" si="320"/>
        <v>幼儿园教师资格</v>
      </c>
    </row>
    <row r="813" customHeight="1" spans="1:9">
      <c r="A813" s="6">
        <v>811</v>
      </c>
      <c r="B813" s="7" t="s">
        <v>11</v>
      </c>
      <c r="C813" s="8" t="str">
        <f>"曾井养"</f>
        <v>曾井养</v>
      </c>
      <c r="D813" s="8" t="str">
        <f t="shared" si="312"/>
        <v>女</v>
      </c>
      <c r="E813" s="7" t="str">
        <f>"460003198907217023"</f>
        <v>460003198907217023</v>
      </c>
      <c r="F813" s="7" t="str">
        <f>"琼台师范高等专科学校"</f>
        <v>琼台师范高等专科学校</v>
      </c>
      <c r="G813" s="7" t="str">
        <f t="shared" si="335"/>
        <v>学前教育</v>
      </c>
      <c r="H813" s="7" t="str">
        <f t="shared" si="337"/>
        <v>专科</v>
      </c>
      <c r="I813" s="7" t="str">
        <f t="shared" si="320"/>
        <v>幼儿园教师资格</v>
      </c>
    </row>
    <row r="814" customHeight="1" spans="1:9">
      <c r="A814" s="6">
        <v>812</v>
      </c>
      <c r="B814" s="7" t="s">
        <v>11</v>
      </c>
      <c r="C814" s="8" t="str">
        <f>"王子叶"</f>
        <v>王子叶</v>
      </c>
      <c r="D814" s="8" t="str">
        <f t="shared" si="312"/>
        <v>女</v>
      </c>
      <c r="E814" s="7" t="str">
        <f>"460034199511120427"</f>
        <v>460034199511120427</v>
      </c>
      <c r="F814" s="7" t="str">
        <f>"海南师范大学"</f>
        <v>海南师范大学</v>
      </c>
      <c r="G814" s="7" t="str">
        <f t="shared" si="335"/>
        <v>学前教育</v>
      </c>
      <c r="H814" s="7" t="str">
        <f>"本科"</f>
        <v>本科</v>
      </c>
      <c r="I814" s="7" t="str">
        <f t="shared" si="320"/>
        <v>幼儿园教师资格</v>
      </c>
    </row>
    <row r="815" customHeight="1" spans="1:9">
      <c r="A815" s="6">
        <v>813</v>
      </c>
      <c r="B815" s="7" t="s">
        <v>10</v>
      </c>
      <c r="C815" s="8" t="str">
        <f>"张石恩"</f>
        <v>张石恩</v>
      </c>
      <c r="D815" s="8" t="str">
        <f t="shared" si="312"/>
        <v>女</v>
      </c>
      <c r="E815" s="7" t="str">
        <f>"460030199202070328"</f>
        <v>460030199202070328</v>
      </c>
      <c r="F815" s="7" t="str">
        <f>"&amp;#160;琼台师范高等专科学校"</f>
        <v>&amp;#160;琼台师范高等专科学校</v>
      </c>
      <c r="G815" s="7" t="str">
        <f t="shared" si="335"/>
        <v>学前教育</v>
      </c>
      <c r="H815" s="7" t="str">
        <f t="shared" ref="H815:H826" si="338">"专科"</f>
        <v>专科</v>
      </c>
      <c r="I815" s="7" t="str">
        <f t="shared" si="320"/>
        <v>幼儿园教师资格</v>
      </c>
    </row>
    <row r="816" customHeight="1" spans="1:9">
      <c r="A816" s="6">
        <v>814</v>
      </c>
      <c r="B816" s="7" t="s">
        <v>11</v>
      </c>
      <c r="C816" s="8" t="str">
        <f>"羊气育"</f>
        <v>羊气育</v>
      </c>
      <c r="D816" s="8" t="str">
        <f t="shared" si="312"/>
        <v>女</v>
      </c>
      <c r="E816" s="7" t="str">
        <f>"460003199503122428"</f>
        <v>460003199503122428</v>
      </c>
      <c r="F816" s="7" t="str">
        <f>"国家开放大学"</f>
        <v>国家开放大学</v>
      </c>
      <c r="G816" s="7" t="str">
        <f t="shared" si="335"/>
        <v>学前教育</v>
      </c>
      <c r="H816" s="7" t="str">
        <f t="shared" si="338"/>
        <v>专科</v>
      </c>
      <c r="I816" s="7" t="str">
        <f t="shared" si="320"/>
        <v>幼儿园教师资格</v>
      </c>
    </row>
    <row r="817" customHeight="1" spans="1:9">
      <c r="A817" s="6">
        <v>815</v>
      </c>
      <c r="B817" s="7" t="s">
        <v>11</v>
      </c>
      <c r="C817" s="8" t="str">
        <f>"冯秋芳"</f>
        <v>冯秋芳</v>
      </c>
      <c r="D817" s="8" t="str">
        <f t="shared" si="312"/>
        <v>女</v>
      </c>
      <c r="E817" s="7" t="str">
        <f>"460004199206070840"</f>
        <v>460004199206070840</v>
      </c>
      <c r="F817" s="7" t="str">
        <f>"海南师范大学"</f>
        <v>海南师范大学</v>
      </c>
      <c r="G817" s="7" t="str">
        <f t="shared" si="335"/>
        <v>学前教育</v>
      </c>
      <c r="H817" s="7" t="str">
        <f>"本科"</f>
        <v>本科</v>
      </c>
      <c r="I817" s="7" t="str">
        <f t="shared" si="320"/>
        <v>幼儿园教师资格</v>
      </c>
    </row>
    <row r="818" customHeight="1" spans="1:9">
      <c r="A818" s="6">
        <v>816</v>
      </c>
      <c r="B818" s="7" t="s">
        <v>12</v>
      </c>
      <c r="C818" s="8" t="str">
        <f>"王梦娇"</f>
        <v>王梦娇</v>
      </c>
      <c r="D818" s="8" t="str">
        <f t="shared" si="312"/>
        <v>女</v>
      </c>
      <c r="E818" s="7" t="str">
        <f>"360302199610293544"</f>
        <v>360302199610293544</v>
      </c>
      <c r="F818" s="7" t="str">
        <f>"琼台师范学院"</f>
        <v>琼台师范学院</v>
      </c>
      <c r="G818" s="7" t="str">
        <f t="shared" si="335"/>
        <v>学前教育</v>
      </c>
      <c r="H818" s="7" t="str">
        <f t="shared" si="338"/>
        <v>专科</v>
      </c>
      <c r="I818" s="7" t="str">
        <f t="shared" si="320"/>
        <v>幼儿园教师资格</v>
      </c>
    </row>
    <row r="819" customHeight="1" spans="1:9">
      <c r="A819" s="6">
        <v>817</v>
      </c>
      <c r="B819" s="7" t="s">
        <v>11</v>
      </c>
      <c r="C819" s="8" t="str">
        <f>"吴娟"</f>
        <v>吴娟</v>
      </c>
      <c r="D819" s="8" t="str">
        <f t="shared" si="312"/>
        <v>女</v>
      </c>
      <c r="E819" s="7" t="str">
        <f>"460001199412010321"</f>
        <v>460001199412010321</v>
      </c>
      <c r="F819" s="7" t="str">
        <f t="shared" ref="F819:F824" si="339">"海南热带海洋学院"</f>
        <v>海南热带海洋学院</v>
      </c>
      <c r="G819" s="7" t="str">
        <f t="shared" si="335"/>
        <v>学前教育</v>
      </c>
      <c r="H819" s="7" t="str">
        <f t="shared" si="338"/>
        <v>专科</v>
      </c>
      <c r="I819" s="7" t="str">
        <f t="shared" si="320"/>
        <v>幼儿园教师资格</v>
      </c>
    </row>
    <row r="820" customHeight="1" spans="1:9">
      <c r="A820" s="6">
        <v>818</v>
      </c>
      <c r="B820" s="7" t="s">
        <v>11</v>
      </c>
      <c r="C820" s="8" t="str">
        <f>"王燕丹"</f>
        <v>王燕丹</v>
      </c>
      <c r="D820" s="8" t="str">
        <f t="shared" ref="D820:D865" si="340">"女"</f>
        <v>女</v>
      </c>
      <c r="E820" s="7" t="str">
        <f>"460027199502216626"</f>
        <v>460027199502216626</v>
      </c>
      <c r="F820" s="7" t="str">
        <f>"琼台师范学院"</f>
        <v>琼台师范学院</v>
      </c>
      <c r="G820" s="7" t="str">
        <f>"学前教育（英语方向）"</f>
        <v>学前教育（英语方向）</v>
      </c>
      <c r="H820" s="7" t="str">
        <f t="shared" si="338"/>
        <v>专科</v>
      </c>
      <c r="I820" s="7" t="str">
        <f t="shared" si="320"/>
        <v>幼儿园教师资格</v>
      </c>
    </row>
    <row r="821" customHeight="1" spans="1:9">
      <c r="A821" s="6">
        <v>819</v>
      </c>
      <c r="B821" s="7" t="s">
        <v>12</v>
      </c>
      <c r="C821" s="8" t="str">
        <f>"周全萍"</f>
        <v>周全萍</v>
      </c>
      <c r="D821" s="8" t="str">
        <f t="shared" si="340"/>
        <v>女</v>
      </c>
      <c r="E821" s="7" t="str">
        <f>"460026199302214523"</f>
        <v>460026199302214523</v>
      </c>
      <c r="F821" s="7" t="str">
        <f>"海南师范大学"</f>
        <v>海南师范大学</v>
      </c>
      <c r="G821" s="7" t="str">
        <f t="shared" ref="G821:G827" si="341">"学前教育"</f>
        <v>学前教育</v>
      </c>
      <c r="H821" s="7" t="str">
        <f t="shared" si="338"/>
        <v>专科</v>
      </c>
      <c r="I821" s="7" t="str">
        <f t="shared" si="320"/>
        <v>幼儿园教师资格</v>
      </c>
    </row>
    <row r="822" customHeight="1" spans="1:9">
      <c r="A822" s="6">
        <v>820</v>
      </c>
      <c r="B822" s="7" t="s">
        <v>10</v>
      </c>
      <c r="C822" s="8" t="str">
        <f>"肖雪岚"</f>
        <v>肖雪岚</v>
      </c>
      <c r="D822" s="8" t="str">
        <f t="shared" si="340"/>
        <v>女</v>
      </c>
      <c r="E822" s="7" t="str">
        <f>"612321199407165523"</f>
        <v>612321199407165523</v>
      </c>
      <c r="F822" s="7" t="str">
        <f>"陕西学前师范学院"</f>
        <v>陕西学前师范学院</v>
      </c>
      <c r="G822" s="7" t="str">
        <f t="shared" si="341"/>
        <v>学前教育</v>
      </c>
      <c r="H822" s="7" t="str">
        <f t="shared" si="338"/>
        <v>专科</v>
      </c>
      <c r="I822" s="7" t="str">
        <f t="shared" si="320"/>
        <v>幼儿园教师资格</v>
      </c>
    </row>
    <row r="823" customHeight="1" spans="1:9">
      <c r="A823" s="6">
        <v>821</v>
      </c>
      <c r="B823" s="7" t="s">
        <v>11</v>
      </c>
      <c r="C823" s="8" t="str">
        <f>"孙少云"</f>
        <v>孙少云</v>
      </c>
      <c r="D823" s="8" t="str">
        <f t="shared" si="340"/>
        <v>女</v>
      </c>
      <c r="E823" s="7" t="str">
        <f>"460033199406193249"</f>
        <v>460033199406193249</v>
      </c>
      <c r="F823" s="7" t="str">
        <f t="shared" si="339"/>
        <v>海南热带海洋学院</v>
      </c>
      <c r="G823" s="7" t="str">
        <f t="shared" si="341"/>
        <v>学前教育</v>
      </c>
      <c r="H823" s="7" t="str">
        <f t="shared" si="338"/>
        <v>专科</v>
      </c>
      <c r="I823" s="7" t="str">
        <f t="shared" si="320"/>
        <v>幼儿园教师资格</v>
      </c>
    </row>
    <row r="824" customHeight="1" spans="1:9">
      <c r="A824" s="6">
        <v>822</v>
      </c>
      <c r="B824" s="7" t="s">
        <v>11</v>
      </c>
      <c r="C824" s="8" t="str">
        <f>"李慧平"</f>
        <v>李慧平</v>
      </c>
      <c r="D824" s="8" t="str">
        <f t="shared" si="340"/>
        <v>女</v>
      </c>
      <c r="E824" s="7" t="str">
        <f>"460034199606013026"</f>
        <v>460034199606013026</v>
      </c>
      <c r="F824" s="7" t="str">
        <f t="shared" si="339"/>
        <v>海南热带海洋学院</v>
      </c>
      <c r="G824" s="7" t="str">
        <f t="shared" si="341"/>
        <v>学前教育</v>
      </c>
      <c r="H824" s="7" t="str">
        <f t="shared" si="338"/>
        <v>专科</v>
      </c>
      <c r="I824" s="7" t="str">
        <f t="shared" si="320"/>
        <v>幼儿园教师资格</v>
      </c>
    </row>
    <row r="825" customHeight="1" spans="1:9">
      <c r="A825" s="6">
        <v>823</v>
      </c>
      <c r="B825" s="7" t="s">
        <v>11</v>
      </c>
      <c r="C825" s="8" t="str">
        <f>"李岩"</f>
        <v>李岩</v>
      </c>
      <c r="D825" s="8" t="str">
        <f t="shared" si="340"/>
        <v>女</v>
      </c>
      <c r="E825" s="7" t="str">
        <f>"460026199602222728"</f>
        <v>460026199602222728</v>
      </c>
      <c r="F825" s="7" t="str">
        <f t="shared" ref="F825:F830" si="342">"琼台师范学院"</f>
        <v>琼台师范学院</v>
      </c>
      <c r="G825" s="7" t="str">
        <f t="shared" si="341"/>
        <v>学前教育</v>
      </c>
      <c r="H825" s="7" t="str">
        <f t="shared" si="338"/>
        <v>专科</v>
      </c>
      <c r="I825" s="7" t="str">
        <f t="shared" si="320"/>
        <v>幼儿园教师资格</v>
      </c>
    </row>
    <row r="826" customHeight="1" spans="1:9">
      <c r="A826" s="6">
        <v>824</v>
      </c>
      <c r="B826" s="7" t="s">
        <v>10</v>
      </c>
      <c r="C826" s="8" t="str">
        <f>"陈玲玲"</f>
        <v>陈玲玲</v>
      </c>
      <c r="D826" s="8" t="str">
        <f t="shared" si="340"/>
        <v>女</v>
      </c>
      <c r="E826" s="7" t="str">
        <f>"46003319930807326X"</f>
        <v>46003319930807326X</v>
      </c>
      <c r="F826" s="7" t="str">
        <f>"琼台师范高等专科学校"</f>
        <v>琼台师范高等专科学校</v>
      </c>
      <c r="G826" s="7" t="str">
        <f t="shared" si="341"/>
        <v>学前教育</v>
      </c>
      <c r="H826" s="7" t="str">
        <f t="shared" si="338"/>
        <v>专科</v>
      </c>
      <c r="I826" s="7" t="str">
        <f t="shared" si="320"/>
        <v>幼儿园教师资格</v>
      </c>
    </row>
    <row r="827" customHeight="1" spans="1:9">
      <c r="A827" s="6">
        <v>825</v>
      </c>
      <c r="B827" s="7" t="s">
        <v>12</v>
      </c>
      <c r="C827" s="8" t="str">
        <f>"黄允凤"</f>
        <v>黄允凤</v>
      </c>
      <c r="D827" s="8" t="str">
        <f t="shared" si="340"/>
        <v>女</v>
      </c>
      <c r="E827" s="7" t="str">
        <f>"460003199510125424"</f>
        <v>460003199510125424</v>
      </c>
      <c r="F827" s="7" t="str">
        <f>"海南热带海洋学院"</f>
        <v>海南热带海洋学院</v>
      </c>
      <c r="G827" s="7" t="str">
        <f t="shared" si="341"/>
        <v>学前教育</v>
      </c>
      <c r="H827" s="7" t="str">
        <f>"本科"</f>
        <v>本科</v>
      </c>
      <c r="I827" s="7" t="str">
        <f t="shared" si="320"/>
        <v>幼儿园教师资格</v>
      </c>
    </row>
    <row r="828" customHeight="1" spans="1:9">
      <c r="A828" s="6">
        <v>826</v>
      </c>
      <c r="B828" s="7" t="s">
        <v>10</v>
      </c>
      <c r="C828" s="8" t="str">
        <f>"顾婧芠"</f>
        <v>顾婧芠</v>
      </c>
      <c r="D828" s="8" t="str">
        <f t="shared" si="340"/>
        <v>女</v>
      </c>
      <c r="E828" s="7" t="str">
        <f>"460006199710247222"</f>
        <v>460006199710247222</v>
      </c>
      <c r="F828" s="7" t="str">
        <f>"海南师范大学"</f>
        <v>海南师范大学</v>
      </c>
      <c r="G828" s="7" t="str">
        <f t="shared" ref="G828:G832" si="343">"学前教育专业"</f>
        <v>学前教育专业</v>
      </c>
      <c r="H828" s="7" t="str">
        <f t="shared" ref="H828:H842" si="344">"专科"</f>
        <v>专科</v>
      </c>
      <c r="I828" s="7" t="str">
        <f t="shared" si="320"/>
        <v>幼儿园教师资格</v>
      </c>
    </row>
    <row r="829" customHeight="1" spans="1:9">
      <c r="A829" s="6">
        <v>827</v>
      </c>
      <c r="B829" s="7" t="s">
        <v>11</v>
      </c>
      <c r="C829" s="8" t="str">
        <f>"王微"</f>
        <v>王微</v>
      </c>
      <c r="D829" s="8" t="str">
        <f t="shared" si="340"/>
        <v>女</v>
      </c>
      <c r="E829" s="7" t="str">
        <f>"460027199905110025"</f>
        <v>460027199905110025</v>
      </c>
      <c r="F829" s="7" t="str">
        <f t="shared" si="342"/>
        <v>琼台师范学院</v>
      </c>
      <c r="G829" s="7" t="str">
        <f t="shared" ref="G829:G836" si="345">"学前教育"</f>
        <v>学前教育</v>
      </c>
      <c r="H829" s="7" t="str">
        <f t="shared" si="344"/>
        <v>专科</v>
      </c>
      <c r="I829" s="7" t="str">
        <f t="shared" si="320"/>
        <v>幼儿园教师资格</v>
      </c>
    </row>
    <row r="830" customHeight="1" spans="1:9">
      <c r="A830" s="6">
        <v>828</v>
      </c>
      <c r="B830" s="7" t="s">
        <v>10</v>
      </c>
      <c r="C830" s="8" t="str">
        <f>"符世君"</f>
        <v>符世君</v>
      </c>
      <c r="D830" s="8" t="str">
        <f t="shared" si="340"/>
        <v>女</v>
      </c>
      <c r="E830" s="7" t="str">
        <f>"460003199808156282"</f>
        <v>460003199808156282</v>
      </c>
      <c r="F830" s="7" t="str">
        <f t="shared" si="342"/>
        <v>琼台师范学院</v>
      </c>
      <c r="G830" s="7" t="str">
        <f>"学前教育（英语方向）"</f>
        <v>学前教育（英语方向）</v>
      </c>
      <c r="H830" s="7" t="str">
        <f t="shared" si="344"/>
        <v>专科</v>
      </c>
      <c r="I830" s="7" t="str">
        <f t="shared" si="320"/>
        <v>幼儿园教师资格</v>
      </c>
    </row>
    <row r="831" customHeight="1" spans="1:9">
      <c r="A831" s="6">
        <v>829</v>
      </c>
      <c r="B831" s="7" t="s">
        <v>11</v>
      </c>
      <c r="C831" s="8" t="str">
        <f>"李晓莹"</f>
        <v>李晓莹</v>
      </c>
      <c r="D831" s="8" t="str">
        <f t="shared" si="340"/>
        <v>女</v>
      </c>
      <c r="E831" s="7" t="str">
        <f>"440882199711032326"</f>
        <v>440882199711032326</v>
      </c>
      <c r="F831" s="7" t="str">
        <f>"岭南师范学院"</f>
        <v>岭南师范学院</v>
      </c>
      <c r="G831" s="7" t="str">
        <f t="shared" si="343"/>
        <v>学前教育专业</v>
      </c>
      <c r="H831" s="7" t="str">
        <f t="shared" si="344"/>
        <v>专科</v>
      </c>
      <c r="I831" s="7" t="str">
        <f t="shared" si="320"/>
        <v>幼儿园教师资格</v>
      </c>
    </row>
    <row r="832" customHeight="1" spans="1:9">
      <c r="A832" s="6">
        <v>830</v>
      </c>
      <c r="B832" s="7" t="s">
        <v>11</v>
      </c>
      <c r="C832" s="8" t="str">
        <f>"侯圆圆"</f>
        <v>侯圆圆</v>
      </c>
      <c r="D832" s="8" t="str">
        <f t="shared" si="340"/>
        <v>女</v>
      </c>
      <c r="E832" s="7" t="str">
        <f>"460036199510090046"</f>
        <v>460036199510090046</v>
      </c>
      <c r="F832" s="7" t="str">
        <f t="shared" ref="F832:F835" si="346">"琼台师范学院"</f>
        <v>琼台师范学院</v>
      </c>
      <c r="G832" s="7" t="str">
        <f t="shared" si="343"/>
        <v>学前教育专业</v>
      </c>
      <c r="H832" s="7" t="str">
        <f t="shared" si="344"/>
        <v>专科</v>
      </c>
      <c r="I832" s="7" t="str">
        <f t="shared" si="320"/>
        <v>幼儿园教师资格</v>
      </c>
    </row>
    <row r="833" customHeight="1" spans="1:9">
      <c r="A833" s="6">
        <v>831</v>
      </c>
      <c r="B833" s="7" t="s">
        <v>11</v>
      </c>
      <c r="C833" s="8" t="str">
        <f>"邓瑞晓"</f>
        <v>邓瑞晓</v>
      </c>
      <c r="D833" s="8" t="str">
        <f t="shared" si="340"/>
        <v>女</v>
      </c>
      <c r="E833" s="7" t="str">
        <f>"460028199510030027"</f>
        <v>460028199510030027</v>
      </c>
      <c r="F833" s="7" t="str">
        <f t="shared" si="346"/>
        <v>琼台师范学院</v>
      </c>
      <c r="G833" s="7" t="str">
        <f t="shared" si="345"/>
        <v>学前教育</v>
      </c>
      <c r="H833" s="7" t="str">
        <f t="shared" si="344"/>
        <v>专科</v>
      </c>
      <c r="I833" s="7" t="str">
        <f t="shared" si="320"/>
        <v>幼儿园教师资格</v>
      </c>
    </row>
    <row r="834" customHeight="1" spans="1:9">
      <c r="A834" s="6">
        <v>832</v>
      </c>
      <c r="B834" s="7" t="s">
        <v>11</v>
      </c>
      <c r="C834" s="8" t="str">
        <f>"陈丹丹"</f>
        <v>陈丹丹</v>
      </c>
      <c r="D834" s="8" t="str">
        <f t="shared" si="340"/>
        <v>女</v>
      </c>
      <c r="E834" s="7" t="str">
        <f>"460030199808175423"</f>
        <v>460030199808175423</v>
      </c>
      <c r="F834" s="7" t="str">
        <f t="shared" si="346"/>
        <v>琼台师范学院</v>
      </c>
      <c r="G834" s="7" t="str">
        <f t="shared" si="345"/>
        <v>学前教育</v>
      </c>
      <c r="H834" s="7" t="str">
        <f t="shared" si="344"/>
        <v>专科</v>
      </c>
      <c r="I834" s="7" t="str">
        <f t="shared" ref="I834:I897" si="347">"幼儿园教师资格"</f>
        <v>幼儿园教师资格</v>
      </c>
    </row>
    <row r="835" customHeight="1" spans="1:9">
      <c r="A835" s="6">
        <v>833</v>
      </c>
      <c r="B835" s="7" t="s">
        <v>12</v>
      </c>
      <c r="C835" s="8" t="str">
        <f>"陈丽娟"</f>
        <v>陈丽娟</v>
      </c>
      <c r="D835" s="8" t="str">
        <f t="shared" si="340"/>
        <v>女</v>
      </c>
      <c r="E835" s="7" t="str">
        <f>"460003199509214622"</f>
        <v>460003199509214622</v>
      </c>
      <c r="F835" s="7" t="str">
        <f t="shared" si="346"/>
        <v>琼台师范学院</v>
      </c>
      <c r="G835" s="7" t="str">
        <f t="shared" si="345"/>
        <v>学前教育</v>
      </c>
      <c r="H835" s="7" t="str">
        <f t="shared" si="344"/>
        <v>专科</v>
      </c>
      <c r="I835" s="7" t="str">
        <f t="shared" si="347"/>
        <v>幼儿园教师资格</v>
      </c>
    </row>
    <row r="836" customHeight="1" spans="1:9">
      <c r="A836" s="6">
        <v>834</v>
      </c>
      <c r="B836" s="7" t="s">
        <v>11</v>
      </c>
      <c r="C836" s="8" t="str">
        <f>"符春花"</f>
        <v>符春花</v>
      </c>
      <c r="D836" s="8" t="str">
        <f t="shared" si="340"/>
        <v>女</v>
      </c>
      <c r="E836" s="7" t="str">
        <f>"460003199206154247"</f>
        <v>460003199206154247</v>
      </c>
      <c r="F836" s="7" t="str">
        <f>"热带海洋学院"</f>
        <v>热带海洋学院</v>
      </c>
      <c r="G836" s="7" t="str">
        <f t="shared" si="345"/>
        <v>学前教育</v>
      </c>
      <c r="H836" s="7" t="str">
        <f t="shared" si="344"/>
        <v>专科</v>
      </c>
      <c r="I836" s="7" t="str">
        <f t="shared" si="347"/>
        <v>幼儿园教师资格</v>
      </c>
    </row>
    <row r="837" customHeight="1" spans="1:9">
      <c r="A837" s="6">
        <v>835</v>
      </c>
      <c r="B837" s="7" t="s">
        <v>10</v>
      </c>
      <c r="C837" s="8" t="str">
        <f>"王苑蓉"</f>
        <v>王苑蓉</v>
      </c>
      <c r="D837" s="8" t="str">
        <f t="shared" si="340"/>
        <v>女</v>
      </c>
      <c r="E837" s="7" t="str">
        <f>"460026199709260927"</f>
        <v>460026199709260927</v>
      </c>
      <c r="F837" s="7" t="str">
        <f>"九江职业大学"</f>
        <v>九江职业大学</v>
      </c>
      <c r="G837" s="7" t="str">
        <f>"学前教育专业"</f>
        <v>学前教育专业</v>
      </c>
      <c r="H837" s="7" t="str">
        <f t="shared" si="344"/>
        <v>专科</v>
      </c>
      <c r="I837" s="7" t="str">
        <f t="shared" si="347"/>
        <v>幼儿园教师资格</v>
      </c>
    </row>
    <row r="838" customHeight="1" spans="1:9">
      <c r="A838" s="6">
        <v>836</v>
      </c>
      <c r="B838" s="7" t="s">
        <v>10</v>
      </c>
      <c r="C838" s="8" t="str">
        <f>"曾小倩"</f>
        <v>曾小倩</v>
      </c>
      <c r="D838" s="8" t="str">
        <f t="shared" si="340"/>
        <v>女</v>
      </c>
      <c r="E838" s="7" t="str">
        <f>"460004199709121427"</f>
        <v>460004199709121427</v>
      </c>
      <c r="F838" s="7" t="str">
        <f t="shared" ref="F838:F841" si="348">"琼台师范学院"</f>
        <v>琼台师范学院</v>
      </c>
      <c r="G838" s="7" t="str">
        <f t="shared" ref="G838:G840" si="349">"学前教育"</f>
        <v>学前教育</v>
      </c>
      <c r="H838" s="7" t="str">
        <f t="shared" si="344"/>
        <v>专科</v>
      </c>
      <c r="I838" s="7" t="str">
        <f t="shared" si="347"/>
        <v>幼儿园教师资格</v>
      </c>
    </row>
    <row r="839" customHeight="1" spans="1:9">
      <c r="A839" s="6">
        <v>837</v>
      </c>
      <c r="B839" s="7" t="s">
        <v>11</v>
      </c>
      <c r="C839" s="8" t="str">
        <f>"吴丽萍"</f>
        <v>吴丽萍</v>
      </c>
      <c r="D839" s="8" t="str">
        <f t="shared" si="340"/>
        <v>女</v>
      </c>
      <c r="E839" s="7" t="str">
        <f>"460004199102171823"</f>
        <v>460004199102171823</v>
      </c>
      <c r="F839" s="7" t="str">
        <f>"琼州学院"</f>
        <v>琼州学院</v>
      </c>
      <c r="G839" s="7" t="str">
        <f t="shared" si="349"/>
        <v>学前教育</v>
      </c>
      <c r="H839" s="7" t="str">
        <f t="shared" si="344"/>
        <v>专科</v>
      </c>
      <c r="I839" s="7" t="str">
        <f t="shared" si="347"/>
        <v>幼儿园教师资格</v>
      </c>
    </row>
    <row r="840" customHeight="1" spans="1:9">
      <c r="A840" s="6">
        <v>838</v>
      </c>
      <c r="B840" s="7" t="s">
        <v>12</v>
      </c>
      <c r="C840" s="8" t="str">
        <f>"张 秋爱"</f>
        <v>张 秋爱</v>
      </c>
      <c r="D840" s="8" t="str">
        <f t="shared" si="340"/>
        <v>女</v>
      </c>
      <c r="E840" s="7" t="str">
        <f>"46900319910904612X"</f>
        <v>46900319910904612X</v>
      </c>
      <c r="F840" s="7" t="str">
        <f t="shared" si="348"/>
        <v>琼台师范学院</v>
      </c>
      <c r="G840" s="7" t="str">
        <f t="shared" si="349"/>
        <v>学前教育</v>
      </c>
      <c r="H840" s="7" t="str">
        <f t="shared" si="344"/>
        <v>专科</v>
      </c>
      <c r="I840" s="7" t="str">
        <f t="shared" si="347"/>
        <v>幼儿园教师资格</v>
      </c>
    </row>
    <row r="841" customHeight="1" spans="1:9">
      <c r="A841" s="6">
        <v>839</v>
      </c>
      <c r="B841" s="7" t="s">
        <v>12</v>
      </c>
      <c r="C841" s="8" t="str">
        <f>"邓钦瑜"</f>
        <v>邓钦瑜</v>
      </c>
      <c r="D841" s="8" t="str">
        <f t="shared" si="340"/>
        <v>女</v>
      </c>
      <c r="E841" s="7" t="str">
        <f>"460028199307160045"</f>
        <v>460028199307160045</v>
      </c>
      <c r="F841" s="7" t="str">
        <f t="shared" si="348"/>
        <v>琼台师范学院</v>
      </c>
      <c r="G841" s="7" t="str">
        <f>"学前教育专业"</f>
        <v>学前教育专业</v>
      </c>
      <c r="H841" s="7" t="str">
        <f t="shared" si="344"/>
        <v>专科</v>
      </c>
      <c r="I841" s="7" t="str">
        <f t="shared" si="347"/>
        <v>幼儿园教师资格</v>
      </c>
    </row>
    <row r="842" customHeight="1" spans="1:9">
      <c r="A842" s="6">
        <v>840</v>
      </c>
      <c r="B842" s="7" t="s">
        <v>11</v>
      </c>
      <c r="C842" s="8" t="str">
        <f>"张小妹"</f>
        <v>张小妹</v>
      </c>
      <c r="D842" s="8" t="str">
        <f t="shared" si="340"/>
        <v>女</v>
      </c>
      <c r="E842" s="7" t="str">
        <f>"460027199705282324"</f>
        <v>460027199705282324</v>
      </c>
      <c r="F842" s="7" t="str">
        <f>"海南琼台师范学院"</f>
        <v>海南琼台师范学院</v>
      </c>
      <c r="G842" s="7" t="str">
        <f t="shared" ref="G842:G853" si="350">"学前教育"</f>
        <v>学前教育</v>
      </c>
      <c r="H842" s="7" t="str">
        <f t="shared" si="344"/>
        <v>专科</v>
      </c>
      <c r="I842" s="7" t="str">
        <f t="shared" si="347"/>
        <v>幼儿园教师资格</v>
      </c>
    </row>
    <row r="843" customHeight="1" spans="1:9">
      <c r="A843" s="6">
        <v>841</v>
      </c>
      <c r="B843" s="7" t="s">
        <v>11</v>
      </c>
      <c r="C843" s="8" t="str">
        <f>"柳美婷"</f>
        <v>柳美婷</v>
      </c>
      <c r="D843" s="8" t="str">
        <f t="shared" si="340"/>
        <v>女</v>
      </c>
      <c r="E843" s="7" t="str">
        <f>"469007199506167641"</f>
        <v>469007199506167641</v>
      </c>
      <c r="F843" s="7" t="str">
        <f t="shared" ref="F843:F848" si="351">"琼台师范学院"</f>
        <v>琼台师范学院</v>
      </c>
      <c r="G843" s="7" t="str">
        <f>"学前教育（英语）"</f>
        <v>学前教育（英语）</v>
      </c>
      <c r="H843" s="7" t="str">
        <f>"专科(高职)"</f>
        <v>专科(高职)</v>
      </c>
      <c r="I843" s="7" t="str">
        <f t="shared" si="347"/>
        <v>幼儿园教师资格</v>
      </c>
    </row>
    <row r="844" customHeight="1" spans="1:9">
      <c r="A844" s="6">
        <v>842</v>
      </c>
      <c r="B844" s="7" t="s">
        <v>11</v>
      </c>
      <c r="C844" s="8" t="str">
        <f>"唐丽虹"</f>
        <v>唐丽虹</v>
      </c>
      <c r="D844" s="8" t="str">
        <f t="shared" si="340"/>
        <v>女</v>
      </c>
      <c r="E844" s="7" t="str">
        <f>"460003199501123064"</f>
        <v>460003199501123064</v>
      </c>
      <c r="F844" s="7" t="str">
        <f>"海南热带海洋学院"</f>
        <v>海南热带海洋学院</v>
      </c>
      <c r="G844" s="7" t="str">
        <f>"学前教育（师范）"</f>
        <v>学前教育（师范）</v>
      </c>
      <c r="H844" s="7" t="str">
        <f t="shared" ref="H844:H848" si="352">"专科"</f>
        <v>专科</v>
      </c>
      <c r="I844" s="7" t="str">
        <f t="shared" si="347"/>
        <v>幼儿园教师资格</v>
      </c>
    </row>
    <row r="845" customHeight="1" spans="1:9">
      <c r="A845" s="6">
        <v>843</v>
      </c>
      <c r="B845" s="7" t="s">
        <v>11</v>
      </c>
      <c r="C845" s="8" t="str">
        <f>"许梦芸"</f>
        <v>许梦芸</v>
      </c>
      <c r="D845" s="8" t="str">
        <f t="shared" si="340"/>
        <v>女</v>
      </c>
      <c r="E845" s="7" t="str">
        <f>"460028199704200442"</f>
        <v>460028199704200442</v>
      </c>
      <c r="F845" s="7" t="str">
        <f t="shared" si="351"/>
        <v>琼台师范学院</v>
      </c>
      <c r="G845" s="7" t="str">
        <f t="shared" si="350"/>
        <v>学前教育</v>
      </c>
      <c r="H845" s="7" t="str">
        <f t="shared" si="352"/>
        <v>专科</v>
      </c>
      <c r="I845" s="7" t="str">
        <f t="shared" si="347"/>
        <v>幼儿园教师资格</v>
      </c>
    </row>
    <row r="846" customHeight="1" spans="1:9">
      <c r="A846" s="6">
        <v>844</v>
      </c>
      <c r="B846" s="7" t="s">
        <v>10</v>
      </c>
      <c r="C846" s="8" t="str">
        <f>"李秋兑"</f>
        <v>李秋兑</v>
      </c>
      <c r="D846" s="8" t="str">
        <f t="shared" si="340"/>
        <v>女</v>
      </c>
      <c r="E846" s="7" t="str">
        <f>"460003199705102249"</f>
        <v>460003199705102249</v>
      </c>
      <c r="F846" s="7" t="str">
        <f>"海南热带海洋学院"</f>
        <v>海南热带海洋学院</v>
      </c>
      <c r="G846" s="7" t="str">
        <f>"学前教育（师范）专业"</f>
        <v>学前教育（师范）专业</v>
      </c>
      <c r="H846" s="7" t="str">
        <f t="shared" si="352"/>
        <v>专科</v>
      </c>
      <c r="I846" s="7" t="str">
        <f t="shared" si="347"/>
        <v>幼儿园教师资格</v>
      </c>
    </row>
    <row r="847" customHeight="1" spans="1:9">
      <c r="A847" s="6">
        <v>845</v>
      </c>
      <c r="B847" s="7" t="s">
        <v>10</v>
      </c>
      <c r="C847" s="8" t="str">
        <f>"刘丹"</f>
        <v>刘丹</v>
      </c>
      <c r="D847" s="8" t="str">
        <f t="shared" si="340"/>
        <v>女</v>
      </c>
      <c r="E847" s="7" t="str">
        <f>"222406199411034824"</f>
        <v>222406199411034824</v>
      </c>
      <c r="F847" s="7" t="str">
        <f>"长春师范大学"</f>
        <v>长春师范大学</v>
      </c>
      <c r="G847" s="7" t="str">
        <f t="shared" si="350"/>
        <v>学前教育</v>
      </c>
      <c r="H847" s="7" t="str">
        <f t="shared" si="352"/>
        <v>专科</v>
      </c>
      <c r="I847" s="7" t="str">
        <f t="shared" si="347"/>
        <v>幼儿园教师资格</v>
      </c>
    </row>
    <row r="848" customHeight="1" spans="1:9">
      <c r="A848" s="6">
        <v>846</v>
      </c>
      <c r="B848" s="7" t="s">
        <v>11</v>
      </c>
      <c r="C848" s="8" t="str">
        <f>"陈蕾"</f>
        <v>陈蕾</v>
      </c>
      <c r="D848" s="8" t="str">
        <f t="shared" si="340"/>
        <v>女</v>
      </c>
      <c r="E848" s="7" t="str">
        <f>"460004199408300229"</f>
        <v>460004199408300229</v>
      </c>
      <c r="F848" s="7" t="str">
        <f t="shared" si="351"/>
        <v>琼台师范学院</v>
      </c>
      <c r="G848" s="7" t="str">
        <f t="shared" si="350"/>
        <v>学前教育</v>
      </c>
      <c r="H848" s="7" t="str">
        <f t="shared" si="352"/>
        <v>专科</v>
      </c>
      <c r="I848" s="7" t="str">
        <f t="shared" si="347"/>
        <v>幼儿园教师资格</v>
      </c>
    </row>
    <row r="849" customHeight="1" spans="1:9">
      <c r="A849" s="6">
        <v>847</v>
      </c>
      <c r="B849" s="7" t="s">
        <v>10</v>
      </c>
      <c r="C849" s="8" t="str">
        <f>"王巧"</f>
        <v>王巧</v>
      </c>
      <c r="D849" s="8" t="str">
        <f t="shared" si="340"/>
        <v>女</v>
      </c>
      <c r="E849" s="7" t="str">
        <f>"460025199509263924"</f>
        <v>460025199509263924</v>
      </c>
      <c r="F849" s="7" t="str">
        <f>"梧州学院"</f>
        <v>梧州学院</v>
      </c>
      <c r="G849" s="7" t="str">
        <f t="shared" si="350"/>
        <v>学前教育</v>
      </c>
      <c r="H849" s="7" t="str">
        <f>"本科"</f>
        <v>本科</v>
      </c>
      <c r="I849" s="7" t="str">
        <f t="shared" si="347"/>
        <v>幼儿园教师资格</v>
      </c>
    </row>
    <row r="850" customHeight="1" spans="1:9">
      <c r="A850" s="6">
        <v>848</v>
      </c>
      <c r="B850" s="7" t="s">
        <v>10</v>
      </c>
      <c r="C850" s="8" t="str">
        <f>"潘惠婷"</f>
        <v>潘惠婷</v>
      </c>
      <c r="D850" s="8" t="str">
        <f t="shared" si="340"/>
        <v>女</v>
      </c>
      <c r="E850" s="7" t="str">
        <f>"46002219960926516X"</f>
        <v>46002219960926516X</v>
      </c>
      <c r="F850" s="7" t="str">
        <f>"海南师范大学"</f>
        <v>海南师范大学</v>
      </c>
      <c r="G850" s="7" t="str">
        <f t="shared" si="350"/>
        <v>学前教育</v>
      </c>
      <c r="H850" s="7" t="str">
        <f t="shared" ref="H850:H857" si="353">"专科"</f>
        <v>专科</v>
      </c>
      <c r="I850" s="7" t="str">
        <f t="shared" si="347"/>
        <v>幼儿园教师资格</v>
      </c>
    </row>
    <row r="851" customHeight="1" spans="1:9">
      <c r="A851" s="6">
        <v>849</v>
      </c>
      <c r="B851" s="7" t="s">
        <v>10</v>
      </c>
      <c r="C851" s="8" t="str">
        <f>"王景荃"</f>
        <v>王景荃</v>
      </c>
      <c r="D851" s="8" t="str">
        <f t="shared" si="340"/>
        <v>女</v>
      </c>
      <c r="E851" s="7" t="str">
        <f>"460006199405157845"</f>
        <v>460006199405157845</v>
      </c>
      <c r="F851" s="7" t="str">
        <f>"廊坊师范学院"</f>
        <v>廊坊师范学院</v>
      </c>
      <c r="G851" s="7" t="str">
        <f t="shared" si="350"/>
        <v>学前教育</v>
      </c>
      <c r="H851" s="7" t="str">
        <f>"本科"</f>
        <v>本科</v>
      </c>
      <c r="I851" s="7" t="str">
        <f t="shared" si="347"/>
        <v>幼儿园教师资格</v>
      </c>
    </row>
    <row r="852" customHeight="1" spans="1:9">
      <c r="A852" s="6">
        <v>850</v>
      </c>
      <c r="B852" s="7" t="s">
        <v>11</v>
      </c>
      <c r="C852" s="8" t="str">
        <f>"王妮"</f>
        <v>王妮</v>
      </c>
      <c r="D852" s="8" t="str">
        <f t="shared" si="340"/>
        <v>女</v>
      </c>
      <c r="E852" s="7" t="str">
        <f>"460006199608164623"</f>
        <v>460006199608164623</v>
      </c>
      <c r="F852" s="7" t="str">
        <f>"西南大学"</f>
        <v>西南大学</v>
      </c>
      <c r="G852" s="7" t="str">
        <f t="shared" si="350"/>
        <v>学前教育</v>
      </c>
      <c r="H852" s="7" t="str">
        <f t="shared" si="353"/>
        <v>专科</v>
      </c>
      <c r="I852" s="7" t="str">
        <f t="shared" si="347"/>
        <v>幼儿园教师资格</v>
      </c>
    </row>
    <row r="853" customHeight="1" spans="1:9">
      <c r="A853" s="6">
        <v>851</v>
      </c>
      <c r="B853" s="7" t="s">
        <v>12</v>
      </c>
      <c r="C853" s="8" t="str">
        <f>"陈倩倩"</f>
        <v>陈倩倩</v>
      </c>
      <c r="D853" s="8" t="str">
        <f t="shared" si="340"/>
        <v>女</v>
      </c>
      <c r="E853" s="7" t="str">
        <f>"500234199403258860"</f>
        <v>500234199403258860</v>
      </c>
      <c r="F853" s="7" t="str">
        <f>"中央广播电视大学"</f>
        <v>中央广播电视大学</v>
      </c>
      <c r="G853" s="7" t="str">
        <f t="shared" si="350"/>
        <v>学前教育</v>
      </c>
      <c r="H853" s="7" t="str">
        <f t="shared" si="353"/>
        <v>专科</v>
      </c>
      <c r="I853" s="7" t="str">
        <f t="shared" si="347"/>
        <v>幼儿园教师资格</v>
      </c>
    </row>
    <row r="854" customHeight="1" spans="1:9">
      <c r="A854" s="6">
        <v>852</v>
      </c>
      <c r="B854" s="7" t="s">
        <v>11</v>
      </c>
      <c r="C854" s="8" t="str">
        <f>"陈祥欢"</f>
        <v>陈祥欢</v>
      </c>
      <c r="D854" s="8" t="str">
        <f t="shared" si="340"/>
        <v>女</v>
      </c>
      <c r="E854" s="7" t="str">
        <f>"460033199507124525"</f>
        <v>460033199507124525</v>
      </c>
      <c r="F854" s="7" t="str">
        <f>"江西省景德镇学院"</f>
        <v>江西省景德镇学院</v>
      </c>
      <c r="G854" s="7" t="str">
        <f>"学前教育专业"</f>
        <v>学前教育专业</v>
      </c>
      <c r="H854" s="7" t="str">
        <f t="shared" si="353"/>
        <v>专科</v>
      </c>
      <c r="I854" s="7" t="str">
        <f t="shared" si="347"/>
        <v>幼儿园教师资格</v>
      </c>
    </row>
    <row r="855" customHeight="1" spans="1:9">
      <c r="A855" s="6">
        <v>853</v>
      </c>
      <c r="B855" s="7" t="s">
        <v>11</v>
      </c>
      <c r="C855" s="8" t="str">
        <f>"冯梦馨"</f>
        <v>冯梦馨</v>
      </c>
      <c r="D855" s="8" t="str">
        <f t="shared" si="340"/>
        <v>女</v>
      </c>
      <c r="E855" s="7" t="str">
        <f>"460006199607212320"</f>
        <v>460006199607212320</v>
      </c>
      <c r="F855" s="7" t="str">
        <f>"海南热带海洋学院"</f>
        <v>海南热带海洋学院</v>
      </c>
      <c r="G855" s="7" t="str">
        <f>"学前教育（语文方向）"</f>
        <v>学前教育（语文方向）</v>
      </c>
      <c r="H855" s="7" t="str">
        <f t="shared" si="353"/>
        <v>专科</v>
      </c>
      <c r="I855" s="7" t="str">
        <f t="shared" si="347"/>
        <v>幼儿园教师资格</v>
      </c>
    </row>
    <row r="856" customHeight="1" spans="1:9">
      <c r="A856" s="6">
        <v>854</v>
      </c>
      <c r="B856" s="7" t="s">
        <v>10</v>
      </c>
      <c r="C856" s="8" t="str">
        <f>"符禧珍"</f>
        <v>符禧珍</v>
      </c>
      <c r="D856" s="8" t="str">
        <f t="shared" si="340"/>
        <v>女</v>
      </c>
      <c r="E856" s="7" t="str">
        <f>"460003199601216022"</f>
        <v>460003199601216022</v>
      </c>
      <c r="F856" s="7" t="str">
        <f>"琼台师范学院"</f>
        <v>琼台师范学院</v>
      </c>
      <c r="G856" s="7" t="str">
        <f>"学前教育（英语专业）"</f>
        <v>学前教育（英语专业）</v>
      </c>
      <c r="H856" s="7" t="str">
        <f t="shared" si="353"/>
        <v>专科</v>
      </c>
      <c r="I856" s="7" t="str">
        <f t="shared" si="347"/>
        <v>幼儿园教师资格</v>
      </c>
    </row>
    <row r="857" customHeight="1" spans="1:9">
      <c r="A857" s="6">
        <v>855</v>
      </c>
      <c r="B857" s="7" t="s">
        <v>12</v>
      </c>
      <c r="C857" s="8" t="str">
        <f>"蒋亚亚"</f>
        <v>蒋亚亚</v>
      </c>
      <c r="D857" s="8" t="str">
        <f t="shared" si="340"/>
        <v>女</v>
      </c>
      <c r="E857" s="7" t="str">
        <f>"460004199209022828"</f>
        <v>460004199209022828</v>
      </c>
      <c r="F857" s="7" t="str">
        <f>"国家开放大学"</f>
        <v>国家开放大学</v>
      </c>
      <c r="G857" s="7" t="str">
        <f t="shared" ref="G857:G861" si="354">"学前教育"</f>
        <v>学前教育</v>
      </c>
      <c r="H857" s="7" t="str">
        <f t="shared" si="353"/>
        <v>专科</v>
      </c>
      <c r="I857" s="7" t="str">
        <f t="shared" si="347"/>
        <v>幼儿园教师资格</v>
      </c>
    </row>
    <row r="858" customHeight="1" spans="1:9">
      <c r="A858" s="6">
        <v>856</v>
      </c>
      <c r="B858" s="7" t="s">
        <v>11</v>
      </c>
      <c r="C858" s="8" t="str">
        <f>"吴若顺"</f>
        <v>吴若顺</v>
      </c>
      <c r="D858" s="8" t="str">
        <f t="shared" si="340"/>
        <v>女</v>
      </c>
      <c r="E858" s="7" t="str">
        <f>"460003199706294668"</f>
        <v>460003199706294668</v>
      </c>
      <c r="F858" s="7" t="str">
        <f>"海南师范大学"</f>
        <v>海南师范大学</v>
      </c>
      <c r="G858" s="7" t="str">
        <f t="shared" si="354"/>
        <v>学前教育</v>
      </c>
      <c r="H858" s="7" t="str">
        <f>"本科"</f>
        <v>本科</v>
      </c>
      <c r="I858" s="7" t="str">
        <f t="shared" si="347"/>
        <v>幼儿园教师资格</v>
      </c>
    </row>
    <row r="859" customHeight="1" spans="1:9">
      <c r="A859" s="6">
        <v>857</v>
      </c>
      <c r="B859" s="7" t="s">
        <v>11</v>
      </c>
      <c r="C859" s="8" t="str">
        <f>"文海莹"</f>
        <v>文海莹</v>
      </c>
      <c r="D859" s="8" t="str">
        <f t="shared" si="340"/>
        <v>女</v>
      </c>
      <c r="E859" s="7" t="str">
        <f>"460007199206154963"</f>
        <v>460007199206154963</v>
      </c>
      <c r="F859" s="7" t="str">
        <f>"琼台师范学校"</f>
        <v>琼台师范学校</v>
      </c>
      <c r="G859" s="7" t="str">
        <f>"学前教育（英语教育方向）"</f>
        <v>学前教育（英语教育方向）</v>
      </c>
      <c r="H859" s="7" t="str">
        <f t="shared" ref="H859:H861" si="355">"专科"</f>
        <v>专科</v>
      </c>
      <c r="I859" s="7" t="str">
        <f t="shared" si="347"/>
        <v>幼儿园教师资格</v>
      </c>
    </row>
    <row r="860" customHeight="1" spans="1:9">
      <c r="A860" s="6">
        <v>858</v>
      </c>
      <c r="B860" s="7" t="s">
        <v>11</v>
      </c>
      <c r="C860" s="8" t="str">
        <f>"符婷"</f>
        <v>符婷</v>
      </c>
      <c r="D860" s="8" t="str">
        <f t="shared" si="340"/>
        <v>女</v>
      </c>
      <c r="E860" s="7" t="str">
        <f>"460034199610270922"</f>
        <v>460034199610270922</v>
      </c>
      <c r="F860" s="7" t="str">
        <f>"海南热带海洋学院"</f>
        <v>海南热带海洋学院</v>
      </c>
      <c r="G860" s="7" t="str">
        <f t="shared" si="354"/>
        <v>学前教育</v>
      </c>
      <c r="H860" s="7" t="str">
        <f t="shared" si="355"/>
        <v>专科</v>
      </c>
      <c r="I860" s="7" t="str">
        <f t="shared" si="347"/>
        <v>幼儿园教师资格</v>
      </c>
    </row>
    <row r="861" customHeight="1" spans="1:9">
      <c r="A861" s="6">
        <v>859</v>
      </c>
      <c r="B861" s="7" t="s">
        <v>12</v>
      </c>
      <c r="C861" s="8" t="str">
        <f>"陈月"</f>
        <v>陈月</v>
      </c>
      <c r="D861" s="8" t="str">
        <f t="shared" si="340"/>
        <v>女</v>
      </c>
      <c r="E861" s="7" t="str">
        <f>"460030199412056022"</f>
        <v>460030199412056022</v>
      </c>
      <c r="F861" s="7" t="str">
        <f>"海南热带海洋学院"</f>
        <v>海南热带海洋学院</v>
      </c>
      <c r="G861" s="7" t="str">
        <f t="shared" si="354"/>
        <v>学前教育</v>
      </c>
      <c r="H861" s="7" t="str">
        <f t="shared" si="355"/>
        <v>专科</v>
      </c>
      <c r="I861" s="7" t="str">
        <f t="shared" si="347"/>
        <v>幼儿园教师资格</v>
      </c>
    </row>
    <row r="862" customHeight="1" spans="1:9">
      <c r="A862" s="6">
        <v>860</v>
      </c>
      <c r="B862" s="7" t="s">
        <v>10</v>
      </c>
      <c r="C862" s="8" t="str">
        <f>"黄海霞"</f>
        <v>黄海霞</v>
      </c>
      <c r="D862" s="8" t="str">
        <f t="shared" si="340"/>
        <v>女</v>
      </c>
      <c r="E862" s="7" t="str">
        <f>"460034199408014124"</f>
        <v>460034199408014124</v>
      </c>
      <c r="F862" s="7" t="str">
        <f>"江西科技学院"</f>
        <v>江西科技学院</v>
      </c>
      <c r="G862" s="7" t="str">
        <f>"学前教育专业"</f>
        <v>学前教育专业</v>
      </c>
      <c r="H862" s="7" t="str">
        <f>"本科"</f>
        <v>本科</v>
      </c>
      <c r="I862" s="7" t="str">
        <f t="shared" si="347"/>
        <v>幼儿园教师资格</v>
      </c>
    </row>
    <row r="863" customHeight="1" spans="1:9">
      <c r="A863" s="6">
        <v>861</v>
      </c>
      <c r="B863" s="7" t="s">
        <v>10</v>
      </c>
      <c r="C863" s="8" t="str">
        <f>"曾金妹"</f>
        <v>曾金妹</v>
      </c>
      <c r="D863" s="8" t="str">
        <f t="shared" si="340"/>
        <v>女</v>
      </c>
      <c r="E863" s="7" t="str">
        <f>"460027199103051342"</f>
        <v>460027199103051342</v>
      </c>
      <c r="F863" s="7" t="str">
        <f>"华南师范大学（自考）"</f>
        <v>华南师范大学（自考）</v>
      </c>
      <c r="G863" s="7" t="str">
        <f>"学前教育专业"</f>
        <v>学前教育专业</v>
      </c>
      <c r="H863" s="7" t="str">
        <f t="shared" ref="H863:H869" si="356">"专科"</f>
        <v>专科</v>
      </c>
      <c r="I863" s="7" t="str">
        <f t="shared" si="347"/>
        <v>幼儿园教师资格</v>
      </c>
    </row>
    <row r="864" customHeight="1" spans="1:9">
      <c r="A864" s="6">
        <v>862</v>
      </c>
      <c r="B864" s="7" t="s">
        <v>10</v>
      </c>
      <c r="C864" s="8" t="str">
        <f>"黄宏圆"</f>
        <v>黄宏圆</v>
      </c>
      <c r="D864" s="8" t="str">
        <f t="shared" si="340"/>
        <v>女</v>
      </c>
      <c r="E864" s="7" t="str">
        <f>"460022199409153526"</f>
        <v>460022199409153526</v>
      </c>
      <c r="F864" s="7" t="str">
        <f>"琼台师范学院"</f>
        <v>琼台师范学院</v>
      </c>
      <c r="G864" s="7" t="str">
        <f t="shared" ref="G864:G880" si="357">"学前教育"</f>
        <v>学前教育</v>
      </c>
      <c r="H864" s="7" t="str">
        <f t="shared" si="356"/>
        <v>专科</v>
      </c>
      <c r="I864" s="7" t="str">
        <f t="shared" si="347"/>
        <v>幼儿园教师资格</v>
      </c>
    </row>
    <row r="865" customHeight="1" spans="1:9">
      <c r="A865" s="6">
        <v>863</v>
      </c>
      <c r="B865" s="7" t="s">
        <v>10</v>
      </c>
      <c r="C865" s="8" t="str">
        <f>"张雯亿"</f>
        <v>张雯亿</v>
      </c>
      <c r="D865" s="8" t="str">
        <f t="shared" si="340"/>
        <v>女</v>
      </c>
      <c r="E865" s="7" t="str">
        <f>"460103199107161885"</f>
        <v>460103199107161885</v>
      </c>
      <c r="F865" s="7" t="str">
        <f>"琼台师范高等专科学校幼儿师范学院"</f>
        <v>琼台师范高等专科学校幼儿师范学院</v>
      </c>
      <c r="G865" s="7" t="str">
        <f>"学期教育"</f>
        <v>学期教育</v>
      </c>
      <c r="H865" s="7" t="str">
        <f t="shared" si="356"/>
        <v>专科</v>
      </c>
      <c r="I865" s="7" t="str">
        <f t="shared" si="347"/>
        <v>幼儿园教师资格</v>
      </c>
    </row>
    <row r="866" customHeight="1" spans="1:9">
      <c r="A866" s="6">
        <v>864</v>
      </c>
      <c r="B866" s="7" t="s">
        <v>10</v>
      </c>
      <c r="C866" s="8" t="str">
        <f>"唐国梁"</f>
        <v>唐国梁</v>
      </c>
      <c r="D866" s="8" t="str">
        <f>"男"</f>
        <v>男</v>
      </c>
      <c r="E866" s="7" t="str">
        <f>"460003199609234639"</f>
        <v>460003199609234639</v>
      </c>
      <c r="F866" s="7" t="str">
        <f>"海南热带海洋学院"</f>
        <v>海南热带海洋学院</v>
      </c>
      <c r="G866" s="7" t="str">
        <f t="shared" si="357"/>
        <v>学前教育</v>
      </c>
      <c r="H866" s="7" t="str">
        <f t="shared" si="356"/>
        <v>专科</v>
      </c>
      <c r="I866" s="7" t="str">
        <f t="shared" si="347"/>
        <v>幼儿园教师资格</v>
      </c>
    </row>
    <row r="867" customHeight="1" spans="1:9">
      <c r="A867" s="6">
        <v>865</v>
      </c>
      <c r="B867" s="7" t="s">
        <v>12</v>
      </c>
      <c r="C867" s="8" t="str">
        <f>"刘文静"</f>
        <v>刘文静</v>
      </c>
      <c r="D867" s="8" t="str">
        <f t="shared" ref="D867:D889" si="358">"女"</f>
        <v>女</v>
      </c>
      <c r="E867" s="7" t="str">
        <f>"460026199507080020"</f>
        <v>460026199507080020</v>
      </c>
      <c r="F867" s="7" t="str">
        <f>"河南济源职业技术学院"</f>
        <v>河南济源职业技术学院</v>
      </c>
      <c r="G867" s="7" t="str">
        <f>"学期教育"</f>
        <v>学期教育</v>
      </c>
      <c r="H867" s="7" t="str">
        <f t="shared" si="356"/>
        <v>专科</v>
      </c>
      <c r="I867" s="7" t="str">
        <f t="shared" si="347"/>
        <v>幼儿园教师资格</v>
      </c>
    </row>
    <row r="868" customHeight="1" spans="1:9">
      <c r="A868" s="6">
        <v>866</v>
      </c>
      <c r="B868" s="7" t="s">
        <v>11</v>
      </c>
      <c r="C868" s="8" t="str">
        <f>"郑妮"</f>
        <v>郑妮</v>
      </c>
      <c r="D868" s="8" t="str">
        <f t="shared" si="358"/>
        <v>女</v>
      </c>
      <c r="E868" s="7" t="str">
        <f>"46000619951208002X"</f>
        <v>46000619951208002X</v>
      </c>
      <c r="F868" s="7" t="str">
        <f>"湖南师范大学"</f>
        <v>湖南师范大学</v>
      </c>
      <c r="G868" s="7" t="str">
        <f t="shared" si="357"/>
        <v>学前教育</v>
      </c>
      <c r="H868" s="7" t="str">
        <f t="shared" si="356"/>
        <v>专科</v>
      </c>
      <c r="I868" s="7" t="str">
        <f t="shared" si="347"/>
        <v>幼儿园教师资格</v>
      </c>
    </row>
    <row r="869" customHeight="1" spans="1:9">
      <c r="A869" s="6">
        <v>867</v>
      </c>
      <c r="B869" s="7" t="s">
        <v>11</v>
      </c>
      <c r="C869" s="8" t="str">
        <f>"王兰清"</f>
        <v>王兰清</v>
      </c>
      <c r="D869" s="8" t="str">
        <f t="shared" si="358"/>
        <v>女</v>
      </c>
      <c r="E869" s="7" t="str">
        <f>"469024199512122024"</f>
        <v>469024199512122024</v>
      </c>
      <c r="F869" s="7" t="str">
        <f t="shared" ref="F869:F876" si="359">"琼台师范学院"</f>
        <v>琼台师范学院</v>
      </c>
      <c r="G869" s="7" t="str">
        <f t="shared" si="357"/>
        <v>学前教育</v>
      </c>
      <c r="H869" s="7" t="str">
        <f t="shared" si="356"/>
        <v>专科</v>
      </c>
      <c r="I869" s="7" t="str">
        <f t="shared" si="347"/>
        <v>幼儿园教师资格</v>
      </c>
    </row>
    <row r="870" customHeight="1" spans="1:9">
      <c r="A870" s="6">
        <v>868</v>
      </c>
      <c r="B870" s="7" t="s">
        <v>11</v>
      </c>
      <c r="C870" s="8" t="str">
        <f>"钟向菊"</f>
        <v>钟向菊</v>
      </c>
      <c r="D870" s="8" t="str">
        <f t="shared" si="358"/>
        <v>女</v>
      </c>
      <c r="E870" s="7" t="str">
        <f>"460003199402182624"</f>
        <v>460003199402182624</v>
      </c>
      <c r="F870" s="7" t="str">
        <f>"海南师范大学"</f>
        <v>海南师范大学</v>
      </c>
      <c r="G870" s="7" t="str">
        <f t="shared" si="357"/>
        <v>学前教育</v>
      </c>
      <c r="H870" s="7" t="str">
        <f>"本科"</f>
        <v>本科</v>
      </c>
      <c r="I870" s="7" t="str">
        <f t="shared" si="347"/>
        <v>幼儿园教师资格</v>
      </c>
    </row>
    <row r="871" customHeight="1" spans="1:9">
      <c r="A871" s="6">
        <v>869</v>
      </c>
      <c r="B871" s="7" t="s">
        <v>10</v>
      </c>
      <c r="C871" s="8" t="str">
        <f>"蔡金燕"</f>
        <v>蔡金燕</v>
      </c>
      <c r="D871" s="8" t="str">
        <f t="shared" si="358"/>
        <v>女</v>
      </c>
      <c r="E871" s="7" t="str">
        <f>"460027199509170026"</f>
        <v>460027199509170026</v>
      </c>
      <c r="F871" s="7" t="str">
        <f t="shared" si="359"/>
        <v>琼台师范学院</v>
      </c>
      <c r="G871" s="7" t="str">
        <f t="shared" si="357"/>
        <v>学前教育</v>
      </c>
      <c r="H871" s="7" t="str">
        <f t="shared" ref="H871:H890" si="360">"专科"</f>
        <v>专科</v>
      </c>
      <c r="I871" s="7" t="str">
        <f t="shared" si="347"/>
        <v>幼儿园教师资格</v>
      </c>
    </row>
    <row r="872" customHeight="1" spans="1:9">
      <c r="A872" s="6">
        <v>870</v>
      </c>
      <c r="B872" s="7" t="s">
        <v>10</v>
      </c>
      <c r="C872" s="8" t="str">
        <f>"王梁英"</f>
        <v>王梁英</v>
      </c>
      <c r="D872" s="8" t="str">
        <f t="shared" si="358"/>
        <v>女</v>
      </c>
      <c r="E872" s="7" t="str">
        <f>"460004199502044620"</f>
        <v>460004199502044620</v>
      </c>
      <c r="F872" s="7" t="str">
        <f>"云南师范大学商学院"</f>
        <v>云南师范大学商学院</v>
      </c>
      <c r="G872" s="7" t="str">
        <f t="shared" si="357"/>
        <v>学前教育</v>
      </c>
      <c r="H872" s="7" t="str">
        <f>"本科"</f>
        <v>本科</v>
      </c>
      <c r="I872" s="7" t="str">
        <f t="shared" si="347"/>
        <v>幼儿园教师资格</v>
      </c>
    </row>
    <row r="873" customHeight="1" spans="1:9">
      <c r="A873" s="6">
        <v>871</v>
      </c>
      <c r="B873" s="7" t="s">
        <v>12</v>
      </c>
      <c r="C873" s="8" t="str">
        <f>"陈莲"</f>
        <v>陈莲</v>
      </c>
      <c r="D873" s="8" t="str">
        <f t="shared" si="358"/>
        <v>女</v>
      </c>
      <c r="E873" s="7" t="str">
        <f>"460006199508191624"</f>
        <v>460006199508191624</v>
      </c>
      <c r="F873" s="7" t="str">
        <f t="shared" si="359"/>
        <v>琼台师范学院</v>
      </c>
      <c r="G873" s="7" t="str">
        <f t="shared" si="357"/>
        <v>学前教育</v>
      </c>
      <c r="H873" s="7" t="str">
        <f t="shared" si="360"/>
        <v>专科</v>
      </c>
      <c r="I873" s="7" t="str">
        <f t="shared" si="347"/>
        <v>幼儿园教师资格</v>
      </c>
    </row>
    <row r="874" customHeight="1" spans="1:9">
      <c r="A874" s="6">
        <v>872</v>
      </c>
      <c r="B874" s="7" t="s">
        <v>10</v>
      </c>
      <c r="C874" s="8" t="str">
        <f>"曾祥美"</f>
        <v>曾祥美</v>
      </c>
      <c r="D874" s="8" t="str">
        <f t="shared" si="358"/>
        <v>女</v>
      </c>
      <c r="E874" s="7" t="str">
        <f>"460006199211187528"</f>
        <v>460006199211187528</v>
      </c>
      <c r="F874" s="7" t="str">
        <f t="shared" si="359"/>
        <v>琼台师范学院</v>
      </c>
      <c r="G874" s="7" t="str">
        <f t="shared" si="357"/>
        <v>学前教育</v>
      </c>
      <c r="H874" s="7" t="str">
        <f t="shared" si="360"/>
        <v>专科</v>
      </c>
      <c r="I874" s="7" t="str">
        <f t="shared" si="347"/>
        <v>幼儿园教师资格</v>
      </c>
    </row>
    <row r="875" customHeight="1" spans="1:9">
      <c r="A875" s="6">
        <v>873</v>
      </c>
      <c r="B875" s="7" t="s">
        <v>10</v>
      </c>
      <c r="C875" s="8" t="str">
        <f>"符开瑛"</f>
        <v>符开瑛</v>
      </c>
      <c r="D875" s="8" t="str">
        <f t="shared" si="358"/>
        <v>女</v>
      </c>
      <c r="E875" s="7" t="str">
        <f>"460003199201166628"</f>
        <v>460003199201166628</v>
      </c>
      <c r="F875" s="7" t="str">
        <f t="shared" si="359"/>
        <v>琼台师范学院</v>
      </c>
      <c r="G875" s="7" t="str">
        <f t="shared" si="357"/>
        <v>学前教育</v>
      </c>
      <c r="H875" s="7" t="str">
        <f t="shared" si="360"/>
        <v>专科</v>
      </c>
      <c r="I875" s="7" t="str">
        <f t="shared" si="347"/>
        <v>幼儿园教师资格</v>
      </c>
    </row>
    <row r="876" customHeight="1" spans="1:9">
      <c r="A876" s="6">
        <v>874</v>
      </c>
      <c r="B876" s="7" t="s">
        <v>12</v>
      </c>
      <c r="C876" s="8" t="str">
        <f>"王琼短"</f>
        <v>王琼短</v>
      </c>
      <c r="D876" s="8" t="str">
        <f t="shared" si="358"/>
        <v>女</v>
      </c>
      <c r="E876" s="7" t="str">
        <f>"460028199509200826"</f>
        <v>460028199509200826</v>
      </c>
      <c r="F876" s="7" t="str">
        <f t="shared" si="359"/>
        <v>琼台师范学院</v>
      </c>
      <c r="G876" s="7" t="str">
        <f t="shared" si="357"/>
        <v>学前教育</v>
      </c>
      <c r="H876" s="7" t="str">
        <f t="shared" si="360"/>
        <v>专科</v>
      </c>
      <c r="I876" s="7" t="str">
        <f t="shared" si="347"/>
        <v>幼儿园教师资格</v>
      </c>
    </row>
    <row r="877" customHeight="1" spans="1:9">
      <c r="A877" s="6">
        <v>875</v>
      </c>
      <c r="B877" s="7" t="s">
        <v>11</v>
      </c>
      <c r="C877" s="8" t="str">
        <f>"周花容"</f>
        <v>周花容</v>
      </c>
      <c r="D877" s="8" t="str">
        <f t="shared" si="358"/>
        <v>女</v>
      </c>
      <c r="E877" s="7" t="str">
        <f>"460004199308182229"</f>
        <v>460004199308182229</v>
      </c>
      <c r="F877" s="7" t="str">
        <f>"琼台幼儿师范学院"</f>
        <v>琼台幼儿师范学院</v>
      </c>
      <c r="G877" s="7" t="str">
        <f t="shared" si="357"/>
        <v>学前教育</v>
      </c>
      <c r="H877" s="7" t="str">
        <f t="shared" si="360"/>
        <v>专科</v>
      </c>
      <c r="I877" s="7" t="str">
        <f t="shared" si="347"/>
        <v>幼儿园教师资格</v>
      </c>
    </row>
    <row r="878" customHeight="1" spans="1:9">
      <c r="A878" s="6">
        <v>876</v>
      </c>
      <c r="B878" s="7" t="s">
        <v>10</v>
      </c>
      <c r="C878" s="8" t="str">
        <f>"李学菊"</f>
        <v>李学菊</v>
      </c>
      <c r="D878" s="8" t="str">
        <f t="shared" si="358"/>
        <v>女</v>
      </c>
      <c r="E878" s="7" t="str">
        <f>"46000319940622262X"</f>
        <v>46000319940622262X</v>
      </c>
      <c r="F878" s="7" t="str">
        <f t="shared" ref="F878:F882" si="361">"海南热带海洋学院"</f>
        <v>海南热带海洋学院</v>
      </c>
      <c r="G878" s="7" t="str">
        <f t="shared" si="357"/>
        <v>学前教育</v>
      </c>
      <c r="H878" s="7" t="str">
        <f t="shared" si="360"/>
        <v>专科</v>
      </c>
      <c r="I878" s="7" t="str">
        <f t="shared" si="347"/>
        <v>幼儿园教师资格</v>
      </c>
    </row>
    <row r="879" customHeight="1" spans="1:9">
      <c r="A879" s="6">
        <v>877</v>
      </c>
      <c r="B879" s="7" t="s">
        <v>10</v>
      </c>
      <c r="C879" s="8" t="str">
        <f>"王蕊"</f>
        <v>王蕊</v>
      </c>
      <c r="D879" s="8" t="str">
        <f t="shared" si="358"/>
        <v>女</v>
      </c>
      <c r="E879" s="7" t="str">
        <f>"469023199701160023"</f>
        <v>469023199701160023</v>
      </c>
      <c r="F879" s="7" t="str">
        <f t="shared" ref="F879:F884" si="362">"琼台师范学院"</f>
        <v>琼台师范学院</v>
      </c>
      <c r="G879" s="7" t="str">
        <f t="shared" si="357"/>
        <v>学前教育</v>
      </c>
      <c r="H879" s="7" t="str">
        <f t="shared" si="360"/>
        <v>专科</v>
      </c>
      <c r="I879" s="7" t="str">
        <f t="shared" si="347"/>
        <v>幼儿园教师资格</v>
      </c>
    </row>
    <row r="880" customHeight="1" spans="1:9">
      <c r="A880" s="6">
        <v>878</v>
      </c>
      <c r="B880" s="7" t="s">
        <v>10</v>
      </c>
      <c r="C880" s="8" t="str">
        <f>"陈云妹"</f>
        <v>陈云妹</v>
      </c>
      <c r="D880" s="8" t="str">
        <f t="shared" si="358"/>
        <v>女</v>
      </c>
      <c r="E880" s="7" t="str">
        <f>"460004199302104465"</f>
        <v>460004199302104465</v>
      </c>
      <c r="F880" s="7" t="str">
        <f>"琼州学院"</f>
        <v>琼州学院</v>
      </c>
      <c r="G880" s="7" t="str">
        <f t="shared" si="357"/>
        <v>学前教育</v>
      </c>
      <c r="H880" s="7" t="str">
        <f t="shared" si="360"/>
        <v>专科</v>
      </c>
      <c r="I880" s="7" t="str">
        <f t="shared" si="347"/>
        <v>幼儿园教师资格</v>
      </c>
    </row>
    <row r="881" customHeight="1" spans="1:9">
      <c r="A881" s="6">
        <v>879</v>
      </c>
      <c r="B881" s="7" t="s">
        <v>10</v>
      </c>
      <c r="C881" s="8" t="str">
        <f>"唐璐"</f>
        <v>唐璐</v>
      </c>
      <c r="D881" s="8" t="str">
        <f t="shared" si="358"/>
        <v>女</v>
      </c>
      <c r="E881" s="7" t="str">
        <f>"460007199805070024"</f>
        <v>460007199805070024</v>
      </c>
      <c r="F881" s="7" t="str">
        <f t="shared" si="361"/>
        <v>海南热带海洋学院</v>
      </c>
      <c r="G881" s="7" t="str">
        <f>"学前教育（师范）"</f>
        <v>学前教育（师范）</v>
      </c>
      <c r="H881" s="7" t="str">
        <f t="shared" si="360"/>
        <v>专科</v>
      </c>
      <c r="I881" s="7" t="str">
        <f t="shared" si="347"/>
        <v>幼儿园教师资格</v>
      </c>
    </row>
    <row r="882" customHeight="1" spans="1:9">
      <c r="A882" s="6">
        <v>880</v>
      </c>
      <c r="B882" s="7" t="s">
        <v>11</v>
      </c>
      <c r="C882" s="8" t="str">
        <f>"郑晓莹"</f>
        <v>郑晓莹</v>
      </c>
      <c r="D882" s="8" t="str">
        <f t="shared" si="358"/>
        <v>女</v>
      </c>
      <c r="E882" s="7" t="str">
        <f>"460028199610220821"</f>
        <v>460028199610220821</v>
      </c>
      <c r="F882" s="7" t="str">
        <f t="shared" si="361"/>
        <v>海南热带海洋学院</v>
      </c>
      <c r="G882" s="7" t="str">
        <f t="shared" ref="G882:G886" si="363">"学前教育"</f>
        <v>学前教育</v>
      </c>
      <c r="H882" s="7" t="str">
        <f t="shared" si="360"/>
        <v>专科</v>
      </c>
      <c r="I882" s="7" t="str">
        <f t="shared" si="347"/>
        <v>幼儿园教师资格</v>
      </c>
    </row>
    <row r="883" customHeight="1" spans="1:9">
      <c r="A883" s="6">
        <v>881</v>
      </c>
      <c r="B883" s="7" t="s">
        <v>10</v>
      </c>
      <c r="C883" s="8" t="str">
        <f>"邹倩倩"</f>
        <v>邹倩倩</v>
      </c>
      <c r="D883" s="8" t="str">
        <f t="shared" si="358"/>
        <v>女</v>
      </c>
      <c r="E883" s="7" t="str">
        <f>"460035199802220029"</f>
        <v>460035199802220029</v>
      </c>
      <c r="F883" s="7" t="str">
        <f t="shared" si="362"/>
        <v>琼台师范学院</v>
      </c>
      <c r="G883" s="7" t="str">
        <f t="shared" si="363"/>
        <v>学前教育</v>
      </c>
      <c r="H883" s="7" t="str">
        <f t="shared" si="360"/>
        <v>专科</v>
      </c>
      <c r="I883" s="7" t="str">
        <f t="shared" si="347"/>
        <v>幼儿园教师资格</v>
      </c>
    </row>
    <row r="884" customHeight="1" spans="1:9">
      <c r="A884" s="6">
        <v>882</v>
      </c>
      <c r="B884" s="7" t="s">
        <v>11</v>
      </c>
      <c r="C884" s="8" t="str">
        <f>"陈琳"</f>
        <v>陈琳</v>
      </c>
      <c r="D884" s="8" t="str">
        <f t="shared" si="358"/>
        <v>女</v>
      </c>
      <c r="E884" s="7" t="str">
        <f>"46002619950105004X"</f>
        <v>46002619950105004X</v>
      </c>
      <c r="F884" s="7" t="str">
        <f t="shared" si="362"/>
        <v>琼台师范学院</v>
      </c>
      <c r="G884" s="7" t="str">
        <f t="shared" si="363"/>
        <v>学前教育</v>
      </c>
      <c r="H884" s="7" t="str">
        <f t="shared" si="360"/>
        <v>专科</v>
      </c>
      <c r="I884" s="7" t="str">
        <f t="shared" si="347"/>
        <v>幼儿园教师资格</v>
      </c>
    </row>
    <row r="885" customHeight="1" spans="1:9">
      <c r="A885" s="6">
        <v>883</v>
      </c>
      <c r="B885" s="7" t="s">
        <v>10</v>
      </c>
      <c r="C885" s="8" t="str">
        <f>"陈章坤"</f>
        <v>陈章坤</v>
      </c>
      <c r="D885" s="8" t="str">
        <f t="shared" si="358"/>
        <v>女</v>
      </c>
      <c r="E885" s="7" t="str">
        <f>"460031199407124824"</f>
        <v>460031199407124824</v>
      </c>
      <c r="F885" s="7" t="str">
        <f>"琼台师范高等专科学校"</f>
        <v>琼台师范高等专科学校</v>
      </c>
      <c r="G885" s="7" t="str">
        <f t="shared" si="363"/>
        <v>学前教育</v>
      </c>
      <c r="H885" s="7" t="str">
        <f t="shared" si="360"/>
        <v>专科</v>
      </c>
      <c r="I885" s="7" t="str">
        <f t="shared" si="347"/>
        <v>幼儿园教师资格</v>
      </c>
    </row>
    <row r="886" customHeight="1" spans="1:9">
      <c r="A886" s="6">
        <v>884</v>
      </c>
      <c r="B886" s="7" t="s">
        <v>10</v>
      </c>
      <c r="C886" s="8" t="str">
        <f>"李明利"</f>
        <v>李明利</v>
      </c>
      <c r="D886" s="8" t="str">
        <f t="shared" si="358"/>
        <v>女</v>
      </c>
      <c r="E886" s="7" t="str">
        <f>"460006199603028745"</f>
        <v>460006199603028745</v>
      </c>
      <c r="F886" s="7" t="str">
        <f t="shared" ref="F886:F890" si="364">"琼台师范学院"</f>
        <v>琼台师范学院</v>
      </c>
      <c r="G886" s="7" t="str">
        <f t="shared" si="363"/>
        <v>学前教育</v>
      </c>
      <c r="H886" s="7" t="str">
        <f t="shared" si="360"/>
        <v>专科</v>
      </c>
      <c r="I886" s="7" t="str">
        <f t="shared" si="347"/>
        <v>幼儿园教师资格</v>
      </c>
    </row>
    <row r="887" customHeight="1" spans="1:9">
      <c r="A887" s="6">
        <v>885</v>
      </c>
      <c r="B887" s="7" t="s">
        <v>12</v>
      </c>
      <c r="C887" s="8" t="str">
        <f>"符玉秀"</f>
        <v>符玉秀</v>
      </c>
      <c r="D887" s="8" t="str">
        <f t="shared" si="358"/>
        <v>女</v>
      </c>
      <c r="E887" s="7" t="str">
        <f>"460003199502052261"</f>
        <v>460003199502052261</v>
      </c>
      <c r="F887" s="7" t="str">
        <f>"海南热带海洋学院"</f>
        <v>海南热带海洋学院</v>
      </c>
      <c r="G887" s="7" t="str">
        <f>"学前教育（数学方向）"</f>
        <v>学前教育（数学方向）</v>
      </c>
      <c r="H887" s="7" t="str">
        <f t="shared" si="360"/>
        <v>专科</v>
      </c>
      <c r="I887" s="7" t="str">
        <f t="shared" si="347"/>
        <v>幼儿园教师资格</v>
      </c>
    </row>
    <row r="888" customHeight="1" spans="1:9">
      <c r="A888" s="6">
        <v>886</v>
      </c>
      <c r="B888" s="7" t="s">
        <v>12</v>
      </c>
      <c r="C888" s="8" t="str">
        <f>"包丽莉"</f>
        <v>包丽莉</v>
      </c>
      <c r="D888" s="8" t="str">
        <f t="shared" si="358"/>
        <v>女</v>
      </c>
      <c r="E888" s="7" t="str">
        <f>"460200199311134469"</f>
        <v>460200199311134469</v>
      </c>
      <c r="F888" s="7" t="str">
        <f t="shared" si="364"/>
        <v>琼台师范学院</v>
      </c>
      <c r="G888" s="7" t="str">
        <f t="shared" ref="G888:G901" si="365">"学前教育"</f>
        <v>学前教育</v>
      </c>
      <c r="H888" s="7" t="str">
        <f t="shared" si="360"/>
        <v>专科</v>
      </c>
      <c r="I888" s="7" t="str">
        <f t="shared" si="347"/>
        <v>幼儿园教师资格</v>
      </c>
    </row>
    <row r="889" customHeight="1" spans="1:9">
      <c r="A889" s="6">
        <v>887</v>
      </c>
      <c r="B889" s="7" t="s">
        <v>12</v>
      </c>
      <c r="C889" s="8" t="str">
        <f>"吴沅沣"</f>
        <v>吴沅沣</v>
      </c>
      <c r="D889" s="8" t="str">
        <f t="shared" si="358"/>
        <v>女</v>
      </c>
      <c r="E889" s="7" t="str">
        <f>"460004199806020222"</f>
        <v>460004199806020222</v>
      </c>
      <c r="F889" s="7" t="str">
        <f t="shared" si="364"/>
        <v>琼台师范学院</v>
      </c>
      <c r="G889" s="7" t="str">
        <f t="shared" si="365"/>
        <v>学前教育</v>
      </c>
      <c r="H889" s="7" t="str">
        <f t="shared" si="360"/>
        <v>专科</v>
      </c>
      <c r="I889" s="7" t="str">
        <f t="shared" si="347"/>
        <v>幼儿园教师资格</v>
      </c>
    </row>
    <row r="890" customHeight="1" spans="1:9">
      <c r="A890" s="6">
        <v>888</v>
      </c>
      <c r="B890" s="7" t="s">
        <v>10</v>
      </c>
      <c r="C890" s="8" t="str">
        <f>"何宁"</f>
        <v>何宁</v>
      </c>
      <c r="D890" s="8" t="str">
        <f>"男"</f>
        <v>男</v>
      </c>
      <c r="E890" s="7" t="str">
        <f>"460003199309090274"</f>
        <v>460003199309090274</v>
      </c>
      <c r="F890" s="7" t="str">
        <f t="shared" si="364"/>
        <v>琼台师范学院</v>
      </c>
      <c r="G890" s="7" t="str">
        <f t="shared" si="365"/>
        <v>学前教育</v>
      </c>
      <c r="H890" s="7" t="str">
        <f t="shared" si="360"/>
        <v>专科</v>
      </c>
      <c r="I890" s="7" t="str">
        <f t="shared" si="347"/>
        <v>幼儿园教师资格</v>
      </c>
    </row>
    <row r="891" customHeight="1" spans="1:9">
      <c r="A891" s="6">
        <v>889</v>
      </c>
      <c r="B891" s="7" t="s">
        <v>10</v>
      </c>
      <c r="C891" s="8" t="str">
        <f>"英奇"</f>
        <v>英奇</v>
      </c>
      <c r="D891" s="8" t="str">
        <f t="shared" ref="D891:D916" si="366">"女"</f>
        <v>女</v>
      </c>
      <c r="E891" s="7" t="str">
        <f>"42110219970512044X"</f>
        <v>42110219970512044X</v>
      </c>
      <c r="F891" s="7" t="str">
        <f>"黄冈师范学院"</f>
        <v>黄冈师范学院</v>
      </c>
      <c r="G891" s="7" t="str">
        <f t="shared" si="365"/>
        <v>学前教育</v>
      </c>
      <c r="H891" s="7" t="str">
        <f>"本科"</f>
        <v>本科</v>
      </c>
      <c r="I891" s="7" t="str">
        <f t="shared" si="347"/>
        <v>幼儿园教师资格</v>
      </c>
    </row>
    <row r="892" customHeight="1" spans="1:9">
      <c r="A892" s="6">
        <v>890</v>
      </c>
      <c r="B892" s="7" t="s">
        <v>10</v>
      </c>
      <c r="C892" s="8" t="str">
        <f>"王春颖"</f>
        <v>王春颖</v>
      </c>
      <c r="D892" s="8" t="str">
        <f t="shared" si="366"/>
        <v>女</v>
      </c>
      <c r="E892" s="7" t="str">
        <f>"460030199606030023"</f>
        <v>460030199606030023</v>
      </c>
      <c r="F892" s="7" t="str">
        <f>"湖南师范大学"</f>
        <v>湖南师范大学</v>
      </c>
      <c r="G892" s="7" t="str">
        <f t="shared" si="365"/>
        <v>学前教育</v>
      </c>
      <c r="H892" s="7" t="str">
        <f t="shared" ref="H892:H898" si="367">"专科"</f>
        <v>专科</v>
      </c>
      <c r="I892" s="7" t="str">
        <f t="shared" si="347"/>
        <v>幼儿园教师资格</v>
      </c>
    </row>
    <row r="893" customHeight="1" spans="1:9">
      <c r="A893" s="6">
        <v>891</v>
      </c>
      <c r="B893" s="7" t="s">
        <v>10</v>
      </c>
      <c r="C893" s="8" t="str">
        <f>"王晓慧"</f>
        <v>王晓慧</v>
      </c>
      <c r="D893" s="8" t="str">
        <f t="shared" si="366"/>
        <v>女</v>
      </c>
      <c r="E893" s="7" t="str">
        <f>"460004199805170229"</f>
        <v>460004199805170229</v>
      </c>
      <c r="F893" s="7" t="str">
        <f>"琼台师范学院"</f>
        <v>琼台师范学院</v>
      </c>
      <c r="G893" s="7" t="str">
        <f t="shared" si="365"/>
        <v>学前教育</v>
      </c>
      <c r="H893" s="7" t="str">
        <f t="shared" si="367"/>
        <v>专科</v>
      </c>
      <c r="I893" s="7" t="str">
        <f t="shared" si="347"/>
        <v>幼儿园教师资格</v>
      </c>
    </row>
    <row r="894" customHeight="1" spans="1:9">
      <c r="A894" s="6">
        <v>892</v>
      </c>
      <c r="B894" s="7" t="s">
        <v>11</v>
      </c>
      <c r="C894" s="8" t="str">
        <f>"韩柳青"</f>
        <v>韩柳青</v>
      </c>
      <c r="D894" s="8" t="str">
        <f t="shared" si="366"/>
        <v>女</v>
      </c>
      <c r="E894" s="7" t="str">
        <f>"460022199205054526"</f>
        <v>460022199205054526</v>
      </c>
      <c r="F894" s="7" t="str">
        <f>"海南师范大学"</f>
        <v>海南师范大学</v>
      </c>
      <c r="G894" s="7" t="str">
        <f t="shared" si="365"/>
        <v>学前教育</v>
      </c>
      <c r="H894" s="7" t="str">
        <f>"本科"</f>
        <v>本科</v>
      </c>
      <c r="I894" s="7" t="str">
        <f t="shared" si="347"/>
        <v>幼儿园教师资格</v>
      </c>
    </row>
    <row r="895" customHeight="1" spans="1:9">
      <c r="A895" s="6">
        <v>893</v>
      </c>
      <c r="B895" s="7" t="s">
        <v>10</v>
      </c>
      <c r="C895" s="8" t="str">
        <f>"黎秀萍"</f>
        <v>黎秀萍</v>
      </c>
      <c r="D895" s="8" t="str">
        <f t="shared" si="366"/>
        <v>女</v>
      </c>
      <c r="E895" s="7" t="str">
        <f>"46000319941026382X"</f>
        <v>46000319941026382X</v>
      </c>
      <c r="F895" s="7" t="str">
        <f>"海南热带海洋学院"</f>
        <v>海南热带海洋学院</v>
      </c>
      <c r="G895" s="7" t="str">
        <f t="shared" si="365"/>
        <v>学前教育</v>
      </c>
      <c r="H895" s="7" t="str">
        <f t="shared" si="367"/>
        <v>专科</v>
      </c>
      <c r="I895" s="7" t="str">
        <f t="shared" si="347"/>
        <v>幼儿园教师资格</v>
      </c>
    </row>
    <row r="896" customHeight="1" spans="1:9">
      <c r="A896" s="6">
        <v>894</v>
      </c>
      <c r="B896" s="7" t="s">
        <v>11</v>
      </c>
      <c r="C896" s="8" t="str">
        <f>"曾玉花"</f>
        <v>曾玉花</v>
      </c>
      <c r="D896" s="8" t="str">
        <f t="shared" si="366"/>
        <v>女</v>
      </c>
      <c r="E896" s="7" t="str">
        <f>"441423199012291723"</f>
        <v>441423199012291723</v>
      </c>
      <c r="F896" s="7" t="str">
        <f>"海南省琼台师范高等专科学校"</f>
        <v>海南省琼台师范高等专科学校</v>
      </c>
      <c r="G896" s="7" t="str">
        <f t="shared" si="365"/>
        <v>学前教育</v>
      </c>
      <c r="H896" s="7" t="str">
        <f t="shared" si="367"/>
        <v>专科</v>
      </c>
      <c r="I896" s="7" t="str">
        <f t="shared" si="347"/>
        <v>幼儿园教师资格</v>
      </c>
    </row>
    <row r="897" customHeight="1" spans="1:9">
      <c r="A897" s="6">
        <v>895</v>
      </c>
      <c r="B897" s="7" t="s">
        <v>12</v>
      </c>
      <c r="C897" s="8" t="str">
        <f>"张怡菲"</f>
        <v>张怡菲</v>
      </c>
      <c r="D897" s="8" t="str">
        <f t="shared" si="366"/>
        <v>女</v>
      </c>
      <c r="E897" s="7" t="str">
        <f>"210102199307236623"</f>
        <v>210102199307236623</v>
      </c>
      <c r="F897" s="7" t="str">
        <f>"琼台师范幼儿师范学院"</f>
        <v>琼台师范幼儿师范学院</v>
      </c>
      <c r="G897" s="7" t="str">
        <f t="shared" si="365"/>
        <v>学前教育</v>
      </c>
      <c r="H897" s="7" t="str">
        <f t="shared" si="367"/>
        <v>专科</v>
      </c>
      <c r="I897" s="7" t="str">
        <f t="shared" si="347"/>
        <v>幼儿园教师资格</v>
      </c>
    </row>
    <row r="898" customHeight="1" spans="1:9">
      <c r="A898" s="6">
        <v>896</v>
      </c>
      <c r="B898" s="7" t="s">
        <v>12</v>
      </c>
      <c r="C898" s="8" t="str">
        <f>"徐陈静"</f>
        <v>徐陈静</v>
      </c>
      <c r="D898" s="8" t="str">
        <f t="shared" si="366"/>
        <v>女</v>
      </c>
      <c r="E898" s="7" t="str">
        <f>"460004199510105227"</f>
        <v>460004199510105227</v>
      </c>
      <c r="F898" s="7" t="str">
        <f>"海南师范大学"</f>
        <v>海南师范大学</v>
      </c>
      <c r="G898" s="7" t="str">
        <f t="shared" si="365"/>
        <v>学前教育</v>
      </c>
      <c r="H898" s="7" t="str">
        <f t="shared" si="367"/>
        <v>专科</v>
      </c>
      <c r="I898" s="7" t="str">
        <f t="shared" ref="I898:I961" si="368">"幼儿园教师资格"</f>
        <v>幼儿园教师资格</v>
      </c>
    </row>
    <row r="899" customHeight="1" spans="1:9">
      <c r="A899" s="6">
        <v>897</v>
      </c>
      <c r="B899" s="7" t="s">
        <v>11</v>
      </c>
      <c r="C899" s="8" t="str">
        <f>"唐月婷"</f>
        <v>唐月婷</v>
      </c>
      <c r="D899" s="8" t="str">
        <f t="shared" si="366"/>
        <v>女</v>
      </c>
      <c r="E899" s="7" t="str">
        <f>"460300199312090627"</f>
        <v>460300199312090627</v>
      </c>
      <c r="F899" s="7" t="str">
        <f>"衡水学院"</f>
        <v>衡水学院</v>
      </c>
      <c r="G899" s="7" t="str">
        <f t="shared" si="365"/>
        <v>学前教育</v>
      </c>
      <c r="H899" s="7" t="str">
        <f t="shared" ref="H899:H904" si="369">"本科"</f>
        <v>本科</v>
      </c>
      <c r="I899" s="7" t="str">
        <f t="shared" si="368"/>
        <v>幼儿园教师资格</v>
      </c>
    </row>
    <row r="900" customHeight="1" spans="1:9">
      <c r="A900" s="6">
        <v>898</v>
      </c>
      <c r="B900" s="7" t="s">
        <v>11</v>
      </c>
      <c r="C900" s="8" t="str">
        <f>"林奕院"</f>
        <v>林奕院</v>
      </c>
      <c r="D900" s="8" t="str">
        <f t="shared" si="366"/>
        <v>女</v>
      </c>
      <c r="E900" s="7" t="str">
        <f>"460007199604085764"</f>
        <v>460007199604085764</v>
      </c>
      <c r="F900" s="7" t="str">
        <f>"琼台师范学院"</f>
        <v>琼台师范学院</v>
      </c>
      <c r="G900" s="7" t="str">
        <f t="shared" si="365"/>
        <v>学前教育</v>
      </c>
      <c r="H900" s="7" t="str">
        <f t="shared" ref="H900:H903" si="370">"专科"</f>
        <v>专科</v>
      </c>
      <c r="I900" s="7" t="str">
        <f t="shared" si="368"/>
        <v>幼儿园教师资格</v>
      </c>
    </row>
    <row r="901" customHeight="1" spans="1:9">
      <c r="A901" s="6">
        <v>899</v>
      </c>
      <c r="B901" s="7" t="s">
        <v>10</v>
      </c>
      <c r="C901" s="8" t="str">
        <f>"邱何花"</f>
        <v>邱何花</v>
      </c>
      <c r="D901" s="8" t="str">
        <f t="shared" si="366"/>
        <v>女</v>
      </c>
      <c r="E901" s="7" t="str">
        <f>"513128199712145327"</f>
        <v>513128199712145327</v>
      </c>
      <c r="F901" s="7" t="str">
        <f>"成都大学"</f>
        <v>成都大学</v>
      </c>
      <c r="G901" s="7" t="str">
        <f t="shared" si="365"/>
        <v>学前教育</v>
      </c>
      <c r="H901" s="7" t="str">
        <f t="shared" si="370"/>
        <v>专科</v>
      </c>
      <c r="I901" s="7" t="str">
        <f t="shared" si="368"/>
        <v>幼儿园教师资格</v>
      </c>
    </row>
    <row r="902" customHeight="1" spans="1:9">
      <c r="A902" s="6">
        <v>900</v>
      </c>
      <c r="B902" s="7" t="s">
        <v>12</v>
      </c>
      <c r="C902" s="8" t="str">
        <f>"李瑞莲"</f>
        <v>李瑞莲</v>
      </c>
      <c r="D902" s="8" t="str">
        <f t="shared" si="366"/>
        <v>女</v>
      </c>
      <c r="E902" s="7" t="str">
        <f>"460300199410300042"</f>
        <v>460300199410300042</v>
      </c>
      <c r="F902" s="7" t="str">
        <f>"吉林师范大学博达学院"</f>
        <v>吉林师范大学博达学院</v>
      </c>
      <c r="G902" s="7" t="str">
        <f>"学前教育专业"</f>
        <v>学前教育专业</v>
      </c>
      <c r="H902" s="7" t="str">
        <f t="shared" si="369"/>
        <v>本科</v>
      </c>
      <c r="I902" s="7" t="str">
        <f t="shared" si="368"/>
        <v>幼儿园教师资格</v>
      </c>
    </row>
    <row r="903" customHeight="1" spans="1:9">
      <c r="A903" s="6">
        <v>901</v>
      </c>
      <c r="B903" s="7" t="s">
        <v>12</v>
      </c>
      <c r="C903" s="8" t="str">
        <f>"林安娜"</f>
        <v>林安娜</v>
      </c>
      <c r="D903" s="8" t="str">
        <f t="shared" si="366"/>
        <v>女</v>
      </c>
      <c r="E903" s="7" t="str">
        <f>"460006199209102361"</f>
        <v>460006199209102361</v>
      </c>
      <c r="F903" s="7" t="str">
        <f>"琼台师范高等专科学校"</f>
        <v>琼台师范高等专科学校</v>
      </c>
      <c r="G903" s="7" t="str">
        <f t="shared" ref="G903:G908" si="371">"学前教育"</f>
        <v>学前教育</v>
      </c>
      <c r="H903" s="7" t="str">
        <f t="shared" si="370"/>
        <v>专科</v>
      </c>
      <c r="I903" s="7" t="str">
        <f t="shared" si="368"/>
        <v>幼儿园教师资格</v>
      </c>
    </row>
    <row r="904" customHeight="1" spans="1:9">
      <c r="A904" s="6">
        <v>902</v>
      </c>
      <c r="B904" s="7" t="s">
        <v>10</v>
      </c>
      <c r="C904" s="8" t="str">
        <f>"郑海花"</f>
        <v>郑海花</v>
      </c>
      <c r="D904" s="8" t="str">
        <f t="shared" si="366"/>
        <v>女</v>
      </c>
      <c r="E904" s="7" t="str">
        <f>"460027199704276221"</f>
        <v>460027199704276221</v>
      </c>
      <c r="F904" s="7" t="str">
        <f>"海南热带海洋学院"</f>
        <v>海南热带海洋学院</v>
      </c>
      <c r="G904" s="7" t="str">
        <f t="shared" si="371"/>
        <v>学前教育</v>
      </c>
      <c r="H904" s="7" t="str">
        <f t="shared" si="369"/>
        <v>本科</v>
      </c>
      <c r="I904" s="7" t="str">
        <f t="shared" si="368"/>
        <v>幼儿园教师资格</v>
      </c>
    </row>
    <row r="905" customHeight="1" spans="1:9">
      <c r="A905" s="6">
        <v>903</v>
      </c>
      <c r="B905" s="7" t="s">
        <v>11</v>
      </c>
      <c r="C905" s="8" t="str">
        <f>"朱春香"</f>
        <v>朱春香</v>
      </c>
      <c r="D905" s="8" t="str">
        <f t="shared" si="366"/>
        <v>女</v>
      </c>
      <c r="E905" s="7" t="str">
        <f>"46002619980118092X"</f>
        <v>46002619980118092X</v>
      </c>
      <c r="F905" s="7" t="str">
        <f>"琼台师范学院"</f>
        <v>琼台师范学院</v>
      </c>
      <c r="G905" s="7" t="str">
        <f t="shared" si="371"/>
        <v>学前教育</v>
      </c>
      <c r="H905" s="7" t="str">
        <f t="shared" ref="H905:H910" si="372">"专科"</f>
        <v>专科</v>
      </c>
      <c r="I905" s="7" t="str">
        <f t="shared" si="368"/>
        <v>幼儿园教师资格</v>
      </c>
    </row>
    <row r="906" customHeight="1" spans="1:9">
      <c r="A906" s="6">
        <v>904</v>
      </c>
      <c r="B906" s="7" t="s">
        <v>11</v>
      </c>
      <c r="C906" s="8" t="str">
        <f>"钟丹娜"</f>
        <v>钟丹娜</v>
      </c>
      <c r="D906" s="8" t="str">
        <f t="shared" si="366"/>
        <v>女</v>
      </c>
      <c r="E906" s="7" t="str">
        <f>"460028199407286841"</f>
        <v>460028199407286841</v>
      </c>
      <c r="F906" s="7" t="str">
        <f>"琼台师范学院"</f>
        <v>琼台师范学院</v>
      </c>
      <c r="G906" s="7" t="str">
        <f t="shared" si="371"/>
        <v>学前教育</v>
      </c>
      <c r="H906" s="7" t="str">
        <f t="shared" si="372"/>
        <v>专科</v>
      </c>
      <c r="I906" s="7" t="str">
        <f t="shared" si="368"/>
        <v>幼儿园教师资格</v>
      </c>
    </row>
    <row r="907" customHeight="1" spans="1:9">
      <c r="A907" s="6">
        <v>905</v>
      </c>
      <c r="B907" s="7" t="s">
        <v>12</v>
      </c>
      <c r="C907" s="8" t="str">
        <f>"许文佳"</f>
        <v>许文佳</v>
      </c>
      <c r="D907" s="8" t="str">
        <f t="shared" si="366"/>
        <v>女</v>
      </c>
      <c r="E907" s="7" t="str">
        <f>"460006199501017826"</f>
        <v>460006199501017826</v>
      </c>
      <c r="F907" s="7" t="str">
        <f>"四川师范大学文理学院"</f>
        <v>四川师范大学文理学院</v>
      </c>
      <c r="G907" s="7" t="str">
        <f t="shared" si="371"/>
        <v>学前教育</v>
      </c>
      <c r="H907" s="7" t="str">
        <f t="shared" ref="H907:H909" si="373">"本科"</f>
        <v>本科</v>
      </c>
      <c r="I907" s="7" t="str">
        <f t="shared" si="368"/>
        <v>幼儿园教师资格</v>
      </c>
    </row>
    <row r="908" customHeight="1" spans="1:9">
      <c r="A908" s="6">
        <v>906</v>
      </c>
      <c r="B908" s="7" t="s">
        <v>10</v>
      </c>
      <c r="C908" s="8" t="str">
        <f>"李少玲"</f>
        <v>李少玲</v>
      </c>
      <c r="D908" s="8" t="str">
        <f t="shared" si="366"/>
        <v>女</v>
      </c>
      <c r="E908" s="7" t="str">
        <f>"460001199409251087"</f>
        <v>460001199409251087</v>
      </c>
      <c r="F908" s="7" t="str">
        <f>"海南热带海洋学院"</f>
        <v>海南热带海洋学院</v>
      </c>
      <c r="G908" s="7" t="str">
        <f t="shared" si="371"/>
        <v>学前教育</v>
      </c>
      <c r="H908" s="7" t="str">
        <f t="shared" si="373"/>
        <v>本科</v>
      </c>
      <c r="I908" s="7" t="str">
        <f t="shared" si="368"/>
        <v>幼儿园教师资格</v>
      </c>
    </row>
    <row r="909" customHeight="1" spans="1:9">
      <c r="A909" s="6">
        <v>907</v>
      </c>
      <c r="B909" s="7" t="s">
        <v>11</v>
      </c>
      <c r="C909" s="8" t="str">
        <f>"吴香坤"</f>
        <v>吴香坤</v>
      </c>
      <c r="D909" s="8" t="str">
        <f t="shared" si="366"/>
        <v>女</v>
      </c>
      <c r="E909" s="7" t="str">
        <f>"460003199507156641"</f>
        <v>460003199507156641</v>
      </c>
      <c r="F909" s="7" t="str">
        <f>"吉林师范大学博达学院"</f>
        <v>吉林师范大学博达学院</v>
      </c>
      <c r="G909" s="7" t="str">
        <f>"学前教育专业"</f>
        <v>学前教育专业</v>
      </c>
      <c r="H909" s="7" t="str">
        <f t="shared" si="373"/>
        <v>本科</v>
      </c>
      <c r="I909" s="7" t="str">
        <f t="shared" si="368"/>
        <v>幼儿园教师资格</v>
      </c>
    </row>
    <row r="910" customHeight="1" spans="1:9">
      <c r="A910" s="6">
        <v>908</v>
      </c>
      <c r="B910" s="7" t="s">
        <v>11</v>
      </c>
      <c r="C910" s="8" t="str">
        <f>"李爱锋"</f>
        <v>李爱锋</v>
      </c>
      <c r="D910" s="8" t="str">
        <f t="shared" si="366"/>
        <v>女</v>
      </c>
      <c r="E910" s="7" t="str">
        <f>"460003199208091841"</f>
        <v>460003199208091841</v>
      </c>
      <c r="F910" s="7" t="str">
        <f>"海南热带海洋学院"</f>
        <v>海南热带海洋学院</v>
      </c>
      <c r="G910" s="7" t="str">
        <f t="shared" ref="G910:G914" si="374">"学前教育"</f>
        <v>学前教育</v>
      </c>
      <c r="H910" s="7" t="str">
        <f t="shared" si="372"/>
        <v>专科</v>
      </c>
      <c r="I910" s="7" t="str">
        <f t="shared" si="368"/>
        <v>幼儿园教师资格</v>
      </c>
    </row>
    <row r="911" customHeight="1" spans="1:9">
      <c r="A911" s="6">
        <v>909</v>
      </c>
      <c r="B911" s="7" t="s">
        <v>11</v>
      </c>
      <c r="C911" s="8" t="str">
        <f>"石书瑞"</f>
        <v>石书瑞</v>
      </c>
      <c r="D911" s="8" t="str">
        <f t="shared" si="366"/>
        <v>女</v>
      </c>
      <c r="E911" s="7" t="str">
        <f>"23122119950912002X"</f>
        <v>23122119950912002X</v>
      </c>
      <c r="F911" s="7" t="str">
        <f>"绥化学院"</f>
        <v>绥化学院</v>
      </c>
      <c r="G911" s="7" t="str">
        <f>"学前教育专业"</f>
        <v>学前教育专业</v>
      </c>
      <c r="H911" s="7" t="str">
        <f>"本科"</f>
        <v>本科</v>
      </c>
      <c r="I911" s="7" t="str">
        <f t="shared" si="368"/>
        <v>幼儿园教师资格</v>
      </c>
    </row>
    <row r="912" customHeight="1" spans="1:9">
      <c r="A912" s="6">
        <v>910</v>
      </c>
      <c r="B912" s="7" t="s">
        <v>12</v>
      </c>
      <c r="C912" s="8" t="str">
        <f>"郭荣兰"</f>
        <v>郭荣兰</v>
      </c>
      <c r="D912" s="8" t="str">
        <f t="shared" si="366"/>
        <v>女</v>
      </c>
      <c r="E912" s="7" t="str">
        <f>"460003199407092425"</f>
        <v>460003199407092425</v>
      </c>
      <c r="F912" s="7" t="str">
        <f>"湖北省仙桃市仙桃职业学院"</f>
        <v>湖北省仙桃市仙桃职业学院</v>
      </c>
      <c r="G912" s="7" t="str">
        <f t="shared" si="374"/>
        <v>学前教育</v>
      </c>
      <c r="H912" s="7" t="str">
        <f>"专科(高职)"</f>
        <v>专科(高职)</v>
      </c>
      <c r="I912" s="7" t="str">
        <f t="shared" si="368"/>
        <v>幼儿园教师资格</v>
      </c>
    </row>
    <row r="913" customHeight="1" spans="1:9">
      <c r="A913" s="6">
        <v>911</v>
      </c>
      <c r="B913" s="7" t="s">
        <v>11</v>
      </c>
      <c r="C913" s="8" t="str">
        <f>"王嘉果"</f>
        <v>王嘉果</v>
      </c>
      <c r="D913" s="8" t="str">
        <f t="shared" si="366"/>
        <v>女</v>
      </c>
      <c r="E913" s="7" t="str">
        <f>"469024199506076420"</f>
        <v>469024199506076420</v>
      </c>
      <c r="F913" s="7" t="str">
        <f>"湖北大学"</f>
        <v>湖北大学</v>
      </c>
      <c r="G913" s="7" t="str">
        <f t="shared" si="374"/>
        <v>学前教育</v>
      </c>
      <c r="H913" s="7" t="str">
        <f t="shared" ref="H913:H915" si="375">"专科"</f>
        <v>专科</v>
      </c>
      <c r="I913" s="7" t="str">
        <f t="shared" si="368"/>
        <v>幼儿园教师资格</v>
      </c>
    </row>
    <row r="914" customHeight="1" spans="1:9">
      <c r="A914" s="6">
        <v>912</v>
      </c>
      <c r="B914" s="7" t="s">
        <v>10</v>
      </c>
      <c r="C914" s="8" t="str">
        <f>"马硕蕾"</f>
        <v>马硕蕾</v>
      </c>
      <c r="D914" s="8" t="str">
        <f t="shared" si="366"/>
        <v>女</v>
      </c>
      <c r="E914" s="7" t="str">
        <f>"460026199408133625"</f>
        <v>460026199408133625</v>
      </c>
      <c r="F914" s="7" t="str">
        <f>"衡水学院"</f>
        <v>衡水学院</v>
      </c>
      <c r="G914" s="7" t="str">
        <f t="shared" si="374"/>
        <v>学前教育</v>
      </c>
      <c r="H914" s="7" t="str">
        <f t="shared" si="375"/>
        <v>专科</v>
      </c>
      <c r="I914" s="7" t="str">
        <f t="shared" si="368"/>
        <v>幼儿园教师资格</v>
      </c>
    </row>
    <row r="915" customHeight="1" spans="1:9">
      <c r="A915" s="6">
        <v>913</v>
      </c>
      <c r="B915" s="7" t="s">
        <v>10</v>
      </c>
      <c r="C915" s="8" t="str">
        <f>"唐成丽"</f>
        <v>唐成丽</v>
      </c>
      <c r="D915" s="8" t="str">
        <f t="shared" si="366"/>
        <v>女</v>
      </c>
      <c r="E915" s="7" t="str">
        <f>"460300199002190622"</f>
        <v>460300199002190622</v>
      </c>
      <c r="F915" s="7" t="str">
        <f>"梧州学院"</f>
        <v>梧州学院</v>
      </c>
      <c r="G915" s="7" t="str">
        <f>"学期教育"</f>
        <v>学期教育</v>
      </c>
      <c r="H915" s="7" t="str">
        <f t="shared" si="375"/>
        <v>专科</v>
      </c>
      <c r="I915" s="7" t="str">
        <f t="shared" si="368"/>
        <v>幼儿园教师资格</v>
      </c>
    </row>
    <row r="916" customHeight="1" spans="1:9">
      <c r="A916" s="6">
        <v>914</v>
      </c>
      <c r="B916" s="7" t="s">
        <v>10</v>
      </c>
      <c r="C916" s="8" t="str">
        <f>"羊中玲"</f>
        <v>羊中玲</v>
      </c>
      <c r="D916" s="8" t="str">
        <f t="shared" si="366"/>
        <v>女</v>
      </c>
      <c r="E916" s="7" t="str">
        <f>"460300199407120649"</f>
        <v>460300199407120649</v>
      </c>
      <c r="F916" s="7" t="str">
        <f>"忻州师范学院"</f>
        <v>忻州师范学院</v>
      </c>
      <c r="G916" s="7" t="str">
        <f t="shared" ref="G916:G922" si="376">"学前教育"</f>
        <v>学前教育</v>
      </c>
      <c r="H916" s="7" t="str">
        <f>"本科"</f>
        <v>本科</v>
      </c>
      <c r="I916" s="7" t="str">
        <f t="shared" si="368"/>
        <v>幼儿园教师资格</v>
      </c>
    </row>
    <row r="917" customHeight="1" spans="1:9">
      <c r="A917" s="6">
        <v>915</v>
      </c>
      <c r="B917" s="7" t="s">
        <v>10</v>
      </c>
      <c r="C917" s="8" t="str">
        <f>"符义博"</f>
        <v>符义博</v>
      </c>
      <c r="D917" s="8" t="str">
        <f>"男"</f>
        <v>男</v>
      </c>
      <c r="E917" s="7" t="str">
        <f>"460007199807150079"</f>
        <v>460007199807150079</v>
      </c>
      <c r="F917" s="7" t="str">
        <f t="shared" ref="F917:F921" si="377">"琼台师范学院"</f>
        <v>琼台师范学院</v>
      </c>
      <c r="G917" s="7" t="str">
        <f t="shared" si="376"/>
        <v>学前教育</v>
      </c>
      <c r="H917" s="7" t="str">
        <f t="shared" ref="H917:H924" si="378">"专科"</f>
        <v>专科</v>
      </c>
      <c r="I917" s="7" t="str">
        <f t="shared" si="368"/>
        <v>幼儿园教师资格</v>
      </c>
    </row>
    <row r="918" customHeight="1" spans="1:9">
      <c r="A918" s="6">
        <v>916</v>
      </c>
      <c r="B918" s="7" t="s">
        <v>11</v>
      </c>
      <c r="C918" s="8" t="str">
        <f>"王烺"</f>
        <v>王烺</v>
      </c>
      <c r="D918" s="8" t="str">
        <f t="shared" ref="D918:D932" si="379">"女"</f>
        <v>女</v>
      </c>
      <c r="E918" s="7" t="str">
        <f>"522722199212010026"</f>
        <v>522722199212010026</v>
      </c>
      <c r="F918" s="7" t="str">
        <f>"凯里学院"</f>
        <v>凯里学院</v>
      </c>
      <c r="G918" s="7" t="str">
        <f t="shared" si="376"/>
        <v>学前教育</v>
      </c>
      <c r="H918" s="7" t="str">
        <f>"本科"</f>
        <v>本科</v>
      </c>
      <c r="I918" s="7" t="str">
        <f t="shared" si="368"/>
        <v>幼儿园教师资格</v>
      </c>
    </row>
    <row r="919" customHeight="1" spans="1:9">
      <c r="A919" s="6">
        <v>917</v>
      </c>
      <c r="B919" s="7" t="s">
        <v>10</v>
      </c>
      <c r="C919" s="8" t="str">
        <f>"郑娉娉"</f>
        <v>郑娉娉</v>
      </c>
      <c r="D919" s="8" t="str">
        <f t="shared" si="379"/>
        <v>女</v>
      </c>
      <c r="E919" s="7" t="str">
        <f>"460004199610280225"</f>
        <v>460004199610280225</v>
      </c>
      <c r="F919" s="7" t="str">
        <f t="shared" si="377"/>
        <v>琼台师范学院</v>
      </c>
      <c r="G919" s="7" t="str">
        <f t="shared" si="376"/>
        <v>学前教育</v>
      </c>
      <c r="H919" s="7" t="str">
        <f t="shared" si="378"/>
        <v>专科</v>
      </c>
      <c r="I919" s="7" t="str">
        <f t="shared" si="368"/>
        <v>幼儿园教师资格</v>
      </c>
    </row>
    <row r="920" customHeight="1" spans="1:9">
      <c r="A920" s="6">
        <v>918</v>
      </c>
      <c r="B920" s="7" t="s">
        <v>11</v>
      </c>
      <c r="C920" s="8" t="str">
        <f>"王春露"</f>
        <v>王春露</v>
      </c>
      <c r="D920" s="8" t="str">
        <f t="shared" si="379"/>
        <v>女</v>
      </c>
      <c r="E920" s="7" t="str">
        <f>"460034199806021522"</f>
        <v>460034199806021522</v>
      </c>
      <c r="F920" s="7" t="str">
        <f>"海南热带海洋学院"</f>
        <v>海南热带海洋学院</v>
      </c>
      <c r="G920" s="7" t="str">
        <f t="shared" si="376"/>
        <v>学前教育</v>
      </c>
      <c r="H920" s="7" t="str">
        <f t="shared" si="378"/>
        <v>专科</v>
      </c>
      <c r="I920" s="7" t="str">
        <f t="shared" si="368"/>
        <v>幼儿园教师资格</v>
      </c>
    </row>
    <row r="921" customHeight="1" spans="1:9">
      <c r="A921" s="6">
        <v>919</v>
      </c>
      <c r="B921" s="7" t="s">
        <v>11</v>
      </c>
      <c r="C921" s="8" t="str">
        <f>"陈光娘"</f>
        <v>陈光娘</v>
      </c>
      <c r="D921" s="8" t="str">
        <f t="shared" si="379"/>
        <v>女</v>
      </c>
      <c r="E921" s="7" t="str">
        <f>"469027199606124548"</f>
        <v>469027199606124548</v>
      </c>
      <c r="F921" s="7" t="str">
        <f t="shared" si="377"/>
        <v>琼台师范学院</v>
      </c>
      <c r="G921" s="7" t="str">
        <f t="shared" si="376"/>
        <v>学前教育</v>
      </c>
      <c r="H921" s="7" t="str">
        <f t="shared" si="378"/>
        <v>专科</v>
      </c>
      <c r="I921" s="7" t="str">
        <f t="shared" si="368"/>
        <v>幼儿园教师资格</v>
      </c>
    </row>
    <row r="922" customHeight="1" spans="1:9">
      <c r="A922" s="6">
        <v>920</v>
      </c>
      <c r="B922" s="7" t="s">
        <v>12</v>
      </c>
      <c r="C922" s="8" t="str">
        <f>"陈延丽"</f>
        <v>陈延丽</v>
      </c>
      <c r="D922" s="8" t="str">
        <f t="shared" si="379"/>
        <v>女</v>
      </c>
      <c r="E922" s="7" t="str">
        <f>"46003419940329004X"</f>
        <v>46003419940329004X</v>
      </c>
      <c r="F922" s="7" t="str">
        <f>"衡水学院"</f>
        <v>衡水学院</v>
      </c>
      <c r="G922" s="7" t="str">
        <f t="shared" si="376"/>
        <v>学前教育</v>
      </c>
      <c r="H922" s="7" t="str">
        <f t="shared" si="378"/>
        <v>专科</v>
      </c>
      <c r="I922" s="7" t="str">
        <f t="shared" si="368"/>
        <v>幼儿园教师资格</v>
      </c>
    </row>
    <row r="923" customHeight="1" spans="1:9">
      <c r="A923" s="6">
        <v>921</v>
      </c>
      <c r="B923" s="7" t="s">
        <v>10</v>
      </c>
      <c r="C923" s="8" t="str">
        <f>"张小丽"</f>
        <v>张小丽</v>
      </c>
      <c r="D923" s="8" t="str">
        <f t="shared" si="379"/>
        <v>女</v>
      </c>
      <c r="E923" s="7" t="str">
        <f>"460027199101068220"</f>
        <v>460027199101068220</v>
      </c>
      <c r="F923" s="7" t="str">
        <f>"海口市琼台师范高等专科学校"</f>
        <v>海口市琼台师范高等专科学校</v>
      </c>
      <c r="G923" s="7" t="str">
        <f>"学前教育（英语方向）"</f>
        <v>学前教育（英语方向）</v>
      </c>
      <c r="H923" s="7" t="str">
        <f t="shared" si="378"/>
        <v>专科</v>
      </c>
      <c r="I923" s="7" t="str">
        <f t="shared" si="368"/>
        <v>幼儿园教师资格</v>
      </c>
    </row>
    <row r="924" customHeight="1" spans="1:9">
      <c r="A924" s="6">
        <v>922</v>
      </c>
      <c r="B924" s="7" t="s">
        <v>10</v>
      </c>
      <c r="C924" s="8" t="str">
        <f>"冯本乖"</f>
        <v>冯本乖</v>
      </c>
      <c r="D924" s="8" t="str">
        <f t="shared" si="379"/>
        <v>女</v>
      </c>
      <c r="E924" s="7" t="str">
        <f>"460031199111225220"</f>
        <v>460031199111225220</v>
      </c>
      <c r="F924" s="7" t="str">
        <f>"琼台师范学院"</f>
        <v>琼台师范学院</v>
      </c>
      <c r="G924" s="7" t="str">
        <f t="shared" ref="G924:G929" si="380">"学前教育"</f>
        <v>学前教育</v>
      </c>
      <c r="H924" s="7" t="str">
        <f t="shared" si="378"/>
        <v>专科</v>
      </c>
      <c r="I924" s="7" t="str">
        <f t="shared" si="368"/>
        <v>幼儿园教师资格</v>
      </c>
    </row>
    <row r="925" customHeight="1" spans="1:9">
      <c r="A925" s="6">
        <v>923</v>
      </c>
      <c r="B925" s="7" t="s">
        <v>11</v>
      </c>
      <c r="C925" s="8" t="str">
        <f>"文雅"</f>
        <v>文雅</v>
      </c>
      <c r="D925" s="8" t="str">
        <f t="shared" si="379"/>
        <v>女</v>
      </c>
      <c r="E925" s="7" t="str">
        <f>"460026199609233323"</f>
        <v>460026199609233323</v>
      </c>
      <c r="F925" s="7" t="str">
        <f>"云南省曲靖市曲靖师范学院"</f>
        <v>云南省曲靖市曲靖师范学院</v>
      </c>
      <c r="G925" s="7" t="str">
        <f>"学前教育专业"</f>
        <v>学前教育专业</v>
      </c>
      <c r="H925" s="7" t="str">
        <f>"本科"</f>
        <v>本科</v>
      </c>
      <c r="I925" s="7" t="str">
        <f t="shared" si="368"/>
        <v>幼儿园教师资格</v>
      </c>
    </row>
    <row r="926" customHeight="1" spans="1:9">
      <c r="A926" s="6">
        <v>924</v>
      </c>
      <c r="B926" s="7" t="s">
        <v>11</v>
      </c>
      <c r="C926" s="8" t="str">
        <f>"王海燕"</f>
        <v>王海燕</v>
      </c>
      <c r="D926" s="8" t="str">
        <f t="shared" si="379"/>
        <v>女</v>
      </c>
      <c r="E926" s="7" t="str">
        <f>"460034199611201822"</f>
        <v>460034199611201822</v>
      </c>
      <c r="F926" s="7" t="str">
        <f>"海南热带海洋学院"</f>
        <v>海南热带海洋学院</v>
      </c>
      <c r="G926" s="7" t="str">
        <f t="shared" si="380"/>
        <v>学前教育</v>
      </c>
      <c r="H926" s="7" t="str">
        <f t="shared" ref="H926:H930" si="381">"专科"</f>
        <v>专科</v>
      </c>
      <c r="I926" s="7" t="str">
        <f t="shared" si="368"/>
        <v>幼儿园教师资格</v>
      </c>
    </row>
    <row r="927" customHeight="1" spans="1:9">
      <c r="A927" s="6">
        <v>925</v>
      </c>
      <c r="B927" s="7" t="s">
        <v>10</v>
      </c>
      <c r="C927" s="8" t="str">
        <f>"仇巧妮"</f>
        <v>仇巧妮</v>
      </c>
      <c r="D927" s="8" t="str">
        <f t="shared" si="379"/>
        <v>女</v>
      </c>
      <c r="E927" s="7" t="str">
        <f>"610523199303084827"</f>
        <v>610523199303084827</v>
      </c>
      <c r="F927" s="7" t="str">
        <f>"西安文理学院"</f>
        <v>西安文理学院</v>
      </c>
      <c r="G927" s="7" t="str">
        <f t="shared" si="380"/>
        <v>学前教育</v>
      </c>
      <c r="H927" s="7" t="str">
        <f>"本科"</f>
        <v>本科</v>
      </c>
      <c r="I927" s="7" t="str">
        <f t="shared" si="368"/>
        <v>幼儿园教师资格</v>
      </c>
    </row>
    <row r="928" customHeight="1" spans="1:9">
      <c r="A928" s="6">
        <v>926</v>
      </c>
      <c r="B928" s="7" t="s">
        <v>12</v>
      </c>
      <c r="C928" s="8" t="str">
        <f>"王珊珊"</f>
        <v>王珊珊</v>
      </c>
      <c r="D928" s="8" t="str">
        <f t="shared" si="379"/>
        <v>女</v>
      </c>
      <c r="E928" s="7" t="str">
        <f>"460007199608046244"</f>
        <v>460007199608046244</v>
      </c>
      <c r="F928" s="7" t="str">
        <f>"海南热带海洋学院"</f>
        <v>海南热带海洋学院</v>
      </c>
      <c r="G928" s="7" t="str">
        <f t="shared" si="380"/>
        <v>学前教育</v>
      </c>
      <c r="H928" s="7" t="str">
        <f t="shared" si="381"/>
        <v>专科</v>
      </c>
      <c r="I928" s="7" t="str">
        <f t="shared" si="368"/>
        <v>幼儿园教师资格</v>
      </c>
    </row>
    <row r="929" customHeight="1" spans="1:9">
      <c r="A929" s="6">
        <v>927</v>
      </c>
      <c r="B929" s="7" t="s">
        <v>12</v>
      </c>
      <c r="C929" s="8" t="str">
        <f>"王惠"</f>
        <v>王惠</v>
      </c>
      <c r="D929" s="8" t="str">
        <f t="shared" si="379"/>
        <v>女</v>
      </c>
      <c r="E929" s="7" t="str">
        <f>"460027199308032049"</f>
        <v>460027199308032049</v>
      </c>
      <c r="F929" s="7" t="str">
        <f>"海南师范大学"</f>
        <v>海南师范大学</v>
      </c>
      <c r="G929" s="7" t="str">
        <f t="shared" si="380"/>
        <v>学前教育</v>
      </c>
      <c r="H929" s="7" t="str">
        <f t="shared" si="381"/>
        <v>专科</v>
      </c>
      <c r="I929" s="7" t="str">
        <f t="shared" si="368"/>
        <v>幼儿园教师资格</v>
      </c>
    </row>
    <row r="930" customHeight="1" spans="1:9">
      <c r="A930" s="6">
        <v>928</v>
      </c>
      <c r="B930" s="7" t="s">
        <v>12</v>
      </c>
      <c r="C930" s="8" t="str">
        <f>"卞惟芬"</f>
        <v>卞惟芬</v>
      </c>
      <c r="D930" s="8" t="str">
        <f t="shared" si="379"/>
        <v>女</v>
      </c>
      <c r="E930" s="7" t="str">
        <f>"460007199511290822"</f>
        <v>460007199511290822</v>
      </c>
      <c r="F930" s="7" t="str">
        <f t="shared" ref="F930:F935" si="382">"琼台师范学院"</f>
        <v>琼台师范学院</v>
      </c>
      <c r="G930" s="7" t="str">
        <f>"学前教育（英语方向）"</f>
        <v>学前教育（英语方向）</v>
      </c>
      <c r="H930" s="7" t="str">
        <f t="shared" si="381"/>
        <v>专科</v>
      </c>
      <c r="I930" s="7" t="str">
        <f t="shared" si="368"/>
        <v>幼儿园教师资格</v>
      </c>
    </row>
    <row r="931" customHeight="1" spans="1:9">
      <c r="A931" s="6">
        <v>929</v>
      </c>
      <c r="B931" s="7" t="s">
        <v>10</v>
      </c>
      <c r="C931" s="8" t="str">
        <f>"王槐杏"</f>
        <v>王槐杏</v>
      </c>
      <c r="D931" s="8" t="str">
        <f t="shared" si="379"/>
        <v>女</v>
      </c>
      <c r="E931" s="7" t="str">
        <f>"460025199405082723"</f>
        <v>460025199405082723</v>
      </c>
      <c r="F931" s="7" t="str">
        <f>"江西科技学院"</f>
        <v>江西科技学院</v>
      </c>
      <c r="G931" s="7" t="str">
        <f t="shared" ref="G931:G938" si="383">"学前教育"</f>
        <v>学前教育</v>
      </c>
      <c r="H931" s="7" t="str">
        <f>"本科"</f>
        <v>本科</v>
      </c>
      <c r="I931" s="7" t="str">
        <f t="shared" si="368"/>
        <v>幼儿园教师资格</v>
      </c>
    </row>
    <row r="932" customHeight="1" spans="1:9">
      <c r="A932" s="6">
        <v>930</v>
      </c>
      <c r="B932" s="7" t="s">
        <v>10</v>
      </c>
      <c r="C932" s="8" t="str">
        <f>"林娇珍"</f>
        <v>林娇珍</v>
      </c>
      <c r="D932" s="8" t="str">
        <f t="shared" si="379"/>
        <v>女</v>
      </c>
      <c r="E932" s="7" t="str">
        <f>"460033199604273880"</f>
        <v>460033199604273880</v>
      </c>
      <c r="F932" s="7" t="str">
        <f>"海南热带海洋学院"</f>
        <v>海南热带海洋学院</v>
      </c>
      <c r="G932" s="7" t="str">
        <f t="shared" si="383"/>
        <v>学前教育</v>
      </c>
      <c r="H932" s="7" t="str">
        <f t="shared" ref="H932:H935" si="384">"专科"</f>
        <v>专科</v>
      </c>
      <c r="I932" s="7" t="str">
        <f t="shared" si="368"/>
        <v>幼儿园教师资格</v>
      </c>
    </row>
    <row r="933" customHeight="1" spans="1:9">
      <c r="A933" s="6">
        <v>931</v>
      </c>
      <c r="B933" s="7" t="s">
        <v>12</v>
      </c>
      <c r="C933" s="8" t="str">
        <f>"符鑫"</f>
        <v>符鑫</v>
      </c>
      <c r="D933" s="8" t="str">
        <f>"男"</f>
        <v>男</v>
      </c>
      <c r="E933" s="7" t="str">
        <f>"460004199509045415"</f>
        <v>460004199509045415</v>
      </c>
      <c r="F933" s="7" t="str">
        <f>"西南大学"</f>
        <v>西南大学</v>
      </c>
      <c r="G933" s="7" t="str">
        <f t="shared" si="383"/>
        <v>学前教育</v>
      </c>
      <c r="H933" s="7" t="str">
        <f t="shared" si="384"/>
        <v>专科</v>
      </c>
      <c r="I933" s="7" t="str">
        <f t="shared" si="368"/>
        <v>幼儿园教师资格</v>
      </c>
    </row>
    <row r="934" customHeight="1" spans="1:9">
      <c r="A934" s="6">
        <v>932</v>
      </c>
      <c r="B934" s="7" t="s">
        <v>10</v>
      </c>
      <c r="C934" s="8" t="str">
        <f>"杨孟琼"</f>
        <v>杨孟琼</v>
      </c>
      <c r="D934" s="8" t="str">
        <f t="shared" ref="D934:D996" si="385">"女"</f>
        <v>女</v>
      </c>
      <c r="E934" s="7" t="str">
        <f>"46000619970129094X"</f>
        <v>46000619970129094X</v>
      </c>
      <c r="F934" s="7" t="str">
        <f t="shared" si="382"/>
        <v>琼台师范学院</v>
      </c>
      <c r="G934" s="7" t="str">
        <f t="shared" si="383"/>
        <v>学前教育</v>
      </c>
      <c r="H934" s="7" t="str">
        <f t="shared" si="384"/>
        <v>专科</v>
      </c>
      <c r="I934" s="7" t="str">
        <f t="shared" si="368"/>
        <v>幼儿园教师资格</v>
      </c>
    </row>
    <row r="935" customHeight="1" spans="1:9">
      <c r="A935" s="6">
        <v>933</v>
      </c>
      <c r="B935" s="7" t="s">
        <v>10</v>
      </c>
      <c r="C935" s="8" t="str">
        <f>"李佳欣"</f>
        <v>李佳欣</v>
      </c>
      <c r="D935" s="8" t="str">
        <f t="shared" si="385"/>
        <v>女</v>
      </c>
      <c r="E935" s="7" t="str">
        <f>"46010219970616212X"</f>
        <v>46010219970616212X</v>
      </c>
      <c r="F935" s="7" t="str">
        <f t="shared" si="382"/>
        <v>琼台师范学院</v>
      </c>
      <c r="G935" s="7" t="str">
        <f t="shared" si="383"/>
        <v>学前教育</v>
      </c>
      <c r="H935" s="7" t="str">
        <f t="shared" si="384"/>
        <v>专科</v>
      </c>
      <c r="I935" s="7" t="str">
        <f t="shared" si="368"/>
        <v>幼儿园教师资格</v>
      </c>
    </row>
    <row r="936" customHeight="1" spans="1:9">
      <c r="A936" s="6">
        <v>934</v>
      </c>
      <c r="B936" s="7" t="s">
        <v>12</v>
      </c>
      <c r="C936" s="8" t="str">
        <f>"王莹"</f>
        <v>王莹</v>
      </c>
      <c r="D936" s="8" t="str">
        <f t="shared" si="385"/>
        <v>女</v>
      </c>
      <c r="E936" s="7" t="str">
        <f>"460001199604081044"</f>
        <v>460001199604081044</v>
      </c>
      <c r="F936" s="7" t="str">
        <f>"海南师范大学"</f>
        <v>海南师范大学</v>
      </c>
      <c r="G936" s="7" t="str">
        <f t="shared" si="383"/>
        <v>学前教育</v>
      </c>
      <c r="H936" s="7" t="str">
        <f>"本科"</f>
        <v>本科</v>
      </c>
      <c r="I936" s="7" t="str">
        <f t="shared" si="368"/>
        <v>幼儿园教师资格</v>
      </c>
    </row>
    <row r="937" customHeight="1" spans="1:9">
      <c r="A937" s="6">
        <v>935</v>
      </c>
      <c r="B937" s="7" t="s">
        <v>10</v>
      </c>
      <c r="C937" s="8" t="str">
        <f>"薛明慧"</f>
        <v>薛明慧</v>
      </c>
      <c r="D937" s="8" t="str">
        <f t="shared" si="385"/>
        <v>女</v>
      </c>
      <c r="E937" s="7" t="str">
        <f>"460005199703223023"</f>
        <v>460005199703223023</v>
      </c>
      <c r="F937" s="7" t="str">
        <f t="shared" ref="F937:F943" si="386">"琼台师范学院"</f>
        <v>琼台师范学院</v>
      </c>
      <c r="G937" s="7" t="str">
        <f t="shared" si="383"/>
        <v>学前教育</v>
      </c>
      <c r="H937" s="7" t="str">
        <f t="shared" ref="H937:H940" si="387">"专科"</f>
        <v>专科</v>
      </c>
      <c r="I937" s="7" t="str">
        <f t="shared" si="368"/>
        <v>幼儿园教师资格</v>
      </c>
    </row>
    <row r="938" customHeight="1" spans="1:9">
      <c r="A938" s="6">
        <v>936</v>
      </c>
      <c r="B938" s="7" t="s">
        <v>11</v>
      </c>
      <c r="C938" s="8" t="str">
        <f>"王秋和"</f>
        <v>王秋和</v>
      </c>
      <c r="D938" s="8" t="str">
        <f t="shared" si="385"/>
        <v>女</v>
      </c>
      <c r="E938" s="7" t="str">
        <f>"460003199508157689"</f>
        <v>460003199508157689</v>
      </c>
      <c r="F938" s="7" t="str">
        <f t="shared" si="386"/>
        <v>琼台师范学院</v>
      </c>
      <c r="G938" s="7" t="str">
        <f t="shared" si="383"/>
        <v>学前教育</v>
      </c>
      <c r="H938" s="7" t="str">
        <f t="shared" si="387"/>
        <v>专科</v>
      </c>
      <c r="I938" s="7" t="str">
        <f t="shared" si="368"/>
        <v>幼儿园教师资格</v>
      </c>
    </row>
    <row r="939" customHeight="1" spans="1:9">
      <c r="A939" s="6">
        <v>937</v>
      </c>
      <c r="B939" s="7" t="s">
        <v>10</v>
      </c>
      <c r="C939" s="8" t="str">
        <f>"徐英丹"</f>
        <v>徐英丹</v>
      </c>
      <c r="D939" s="8" t="str">
        <f t="shared" si="385"/>
        <v>女</v>
      </c>
      <c r="E939" s="7" t="str">
        <f>"46000319910506762X"</f>
        <v>46000319910506762X</v>
      </c>
      <c r="F939" s="7" t="str">
        <f>"琼台师范高等专科学校"</f>
        <v>琼台师范高等专科学校</v>
      </c>
      <c r="G939" s="7" t="str">
        <f>"学前教育（英语教育方向）"</f>
        <v>学前教育（英语教育方向）</v>
      </c>
      <c r="H939" s="7" t="str">
        <f t="shared" si="387"/>
        <v>专科</v>
      </c>
      <c r="I939" s="7" t="str">
        <f t="shared" si="368"/>
        <v>幼儿园教师资格</v>
      </c>
    </row>
    <row r="940" customHeight="1" spans="1:9">
      <c r="A940" s="6">
        <v>938</v>
      </c>
      <c r="B940" s="7" t="s">
        <v>11</v>
      </c>
      <c r="C940" s="8" t="str">
        <f>"苏家蕊"</f>
        <v>苏家蕊</v>
      </c>
      <c r="D940" s="8" t="str">
        <f t="shared" si="385"/>
        <v>女</v>
      </c>
      <c r="E940" s="7" t="str">
        <f>"460032199005066189"</f>
        <v>460032199005066189</v>
      </c>
      <c r="F940" s="7" t="str">
        <f>"海南热带海洋学院"</f>
        <v>海南热带海洋学院</v>
      </c>
      <c r="G940" s="7" t="str">
        <f>"学前教育师范"</f>
        <v>学前教育师范</v>
      </c>
      <c r="H940" s="7" t="str">
        <f t="shared" si="387"/>
        <v>专科</v>
      </c>
      <c r="I940" s="7" t="str">
        <f t="shared" si="368"/>
        <v>幼儿园教师资格</v>
      </c>
    </row>
    <row r="941" customHeight="1" spans="1:9">
      <c r="A941" s="6">
        <v>939</v>
      </c>
      <c r="B941" s="7" t="s">
        <v>10</v>
      </c>
      <c r="C941" s="8" t="str">
        <f>"韩海玲"</f>
        <v>韩海玲</v>
      </c>
      <c r="D941" s="8" t="str">
        <f t="shared" si="385"/>
        <v>女</v>
      </c>
      <c r="E941" s="7" t="str">
        <f>"460003199608124446"</f>
        <v>460003199608124446</v>
      </c>
      <c r="F941" s="7" t="str">
        <f>"曲阜师范大学"</f>
        <v>曲阜师范大学</v>
      </c>
      <c r="G941" s="7" t="str">
        <f>"学前教育学"</f>
        <v>学前教育学</v>
      </c>
      <c r="H941" s="7" t="str">
        <f>"本科"</f>
        <v>本科</v>
      </c>
      <c r="I941" s="7" t="str">
        <f t="shared" si="368"/>
        <v>幼儿园教师资格</v>
      </c>
    </row>
    <row r="942" customHeight="1" spans="1:9">
      <c r="A942" s="6">
        <v>940</v>
      </c>
      <c r="B942" s="7" t="s">
        <v>12</v>
      </c>
      <c r="C942" s="8" t="str">
        <f>"李亚霞"</f>
        <v>李亚霞</v>
      </c>
      <c r="D942" s="8" t="str">
        <f t="shared" si="385"/>
        <v>女</v>
      </c>
      <c r="E942" s="7" t="str">
        <f>"460034199607102426"</f>
        <v>460034199607102426</v>
      </c>
      <c r="F942" s="7" t="str">
        <f t="shared" si="386"/>
        <v>琼台师范学院</v>
      </c>
      <c r="G942" s="7" t="str">
        <f t="shared" ref="G942:G947" si="388">"学前教育"</f>
        <v>学前教育</v>
      </c>
      <c r="H942" s="7" t="str">
        <f t="shared" ref="H942:H951" si="389">"专科"</f>
        <v>专科</v>
      </c>
      <c r="I942" s="7" t="str">
        <f t="shared" si="368"/>
        <v>幼儿园教师资格</v>
      </c>
    </row>
    <row r="943" customHeight="1" spans="1:9">
      <c r="A943" s="6">
        <v>941</v>
      </c>
      <c r="B943" s="7" t="s">
        <v>10</v>
      </c>
      <c r="C943" s="8" t="str">
        <f>"韦小方"</f>
        <v>韦小方</v>
      </c>
      <c r="D943" s="8" t="str">
        <f t="shared" si="385"/>
        <v>女</v>
      </c>
      <c r="E943" s="7" t="str">
        <f>"460106199706073421"</f>
        <v>460106199706073421</v>
      </c>
      <c r="F943" s="7" t="str">
        <f t="shared" si="386"/>
        <v>琼台师范学院</v>
      </c>
      <c r="G943" s="7" t="str">
        <f t="shared" si="388"/>
        <v>学前教育</v>
      </c>
      <c r="H943" s="7" t="str">
        <f t="shared" si="389"/>
        <v>专科</v>
      </c>
      <c r="I943" s="7" t="str">
        <f t="shared" si="368"/>
        <v>幼儿园教师资格</v>
      </c>
    </row>
    <row r="944" customHeight="1" spans="1:9">
      <c r="A944" s="6">
        <v>942</v>
      </c>
      <c r="B944" s="7" t="s">
        <v>12</v>
      </c>
      <c r="C944" s="8" t="str">
        <f>"梁晓巧"</f>
        <v>梁晓巧</v>
      </c>
      <c r="D944" s="8" t="str">
        <f t="shared" si="385"/>
        <v>女</v>
      </c>
      <c r="E944" s="7" t="str">
        <f>"460025199207274820"</f>
        <v>460025199207274820</v>
      </c>
      <c r="F944" s="7" t="str">
        <f>"衡水学院"</f>
        <v>衡水学院</v>
      </c>
      <c r="G944" s="7" t="str">
        <f t="shared" si="388"/>
        <v>学前教育</v>
      </c>
      <c r="H944" s="7" t="str">
        <f>"本科"</f>
        <v>本科</v>
      </c>
      <c r="I944" s="7" t="str">
        <f t="shared" si="368"/>
        <v>幼儿园教师资格</v>
      </c>
    </row>
    <row r="945" customHeight="1" spans="1:9">
      <c r="A945" s="6">
        <v>943</v>
      </c>
      <c r="B945" s="7" t="s">
        <v>11</v>
      </c>
      <c r="C945" s="8" t="str">
        <f>"吴怡静"</f>
        <v>吴怡静</v>
      </c>
      <c r="D945" s="8" t="str">
        <f t="shared" si="385"/>
        <v>女</v>
      </c>
      <c r="E945" s="7" t="str">
        <f>"460007199702030425"</f>
        <v>460007199702030425</v>
      </c>
      <c r="F945" s="7" t="str">
        <f t="shared" ref="F945:F948" si="390">"琼台师范学院"</f>
        <v>琼台师范学院</v>
      </c>
      <c r="G945" s="7" t="str">
        <f t="shared" si="388"/>
        <v>学前教育</v>
      </c>
      <c r="H945" s="7" t="str">
        <f t="shared" si="389"/>
        <v>专科</v>
      </c>
      <c r="I945" s="7" t="str">
        <f t="shared" si="368"/>
        <v>幼儿园教师资格</v>
      </c>
    </row>
    <row r="946" customHeight="1" spans="1:9">
      <c r="A946" s="6">
        <v>944</v>
      </c>
      <c r="B946" s="7" t="s">
        <v>11</v>
      </c>
      <c r="C946" s="8" t="str">
        <f>"黄丽丽"</f>
        <v>黄丽丽</v>
      </c>
      <c r="D946" s="8" t="str">
        <f t="shared" si="385"/>
        <v>女</v>
      </c>
      <c r="E946" s="7" t="str">
        <f>"460007199504138523"</f>
        <v>460007199504138523</v>
      </c>
      <c r="F946" s="7" t="str">
        <f t="shared" si="390"/>
        <v>琼台师范学院</v>
      </c>
      <c r="G946" s="7" t="str">
        <f t="shared" si="388"/>
        <v>学前教育</v>
      </c>
      <c r="H946" s="7" t="str">
        <f t="shared" si="389"/>
        <v>专科</v>
      </c>
      <c r="I946" s="7" t="str">
        <f t="shared" si="368"/>
        <v>幼儿园教师资格</v>
      </c>
    </row>
    <row r="947" customHeight="1" spans="1:9">
      <c r="A947" s="6">
        <v>945</v>
      </c>
      <c r="B947" s="7" t="s">
        <v>12</v>
      </c>
      <c r="C947" s="8" t="str">
        <f>"符喜真"</f>
        <v>符喜真</v>
      </c>
      <c r="D947" s="8" t="str">
        <f t="shared" si="385"/>
        <v>女</v>
      </c>
      <c r="E947" s="7" t="str">
        <f>"460007199007137220"</f>
        <v>460007199007137220</v>
      </c>
      <c r="F947" s="7" t="str">
        <f>"海南省热带海洋学院"</f>
        <v>海南省热带海洋学院</v>
      </c>
      <c r="G947" s="7" t="str">
        <f t="shared" si="388"/>
        <v>学前教育</v>
      </c>
      <c r="H947" s="7" t="str">
        <f t="shared" si="389"/>
        <v>专科</v>
      </c>
      <c r="I947" s="7" t="str">
        <f t="shared" si="368"/>
        <v>幼儿园教师资格</v>
      </c>
    </row>
    <row r="948" customHeight="1" spans="1:9">
      <c r="A948" s="6">
        <v>946</v>
      </c>
      <c r="B948" s="7" t="s">
        <v>11</v>
      </c>
      <c r="C948" s="8" t="str">
        <f>"王安妮"</f>
        <v>王安妮</v>
      </c>
      <c r="D948" s="8" t="str">
        <f t="shared" si="385"/>
        <v>女</v>
      </c>
      <c r="E948" s="7" t="str">
        <f>"460007199112057265"</f>
        <v>460007199112057265</v>
      </c>
      <c r="F948" s="7" t="str">
        <f t="shared" si="390"/>
        <v>琼台师范学院</v>
      </c>
      <c r="G948" s="7" t="str">
        <f>"学前教育（英语方向）"</f>
        <v>学前教育（英语方向）</v>
      </c>
      <c r="H948" s="7" t="str">
        <f t="shared" si="389"/>
        <v>专科</v>
      </c>
      <c r="I948" s="7" t="str">
        <f t="shared" si="368"/>
        <v>幼儿园教师资格</v>
      </c>
    </row>
    <row r="949" customHeight="1" spans="1:9">
      <c r="A949" s="6">
        <v>947</v>
      </c>
      <c r="B949" s="7" t="s">
        <v>11</v>
      </c>
      <c r="C949" s="8" t="str">
        <f>"郑俏丽"</f>
        <v>郑俏丽</v>
      </c>
      <c r="D949" s="8" t="str">
        <f t="shared" si="385"/>
        <v>女</v>
      </c>
      <c r="E949" s="7" t="str">
        <f>"460026199605270928"</f>
        <v>460026199605270928</v>
      </c>
      <c r="F949" s="7" t="str">
        <f>"海南热带海洋学院"</f>
        <v>海南热带海洋学院</v>
      </c>
      <c r="G949" s="7" t="str">
        <f t="shared" ref="G949:G951" si="391">"学前教育"</f>
        <v>学前教育</v>
      </c>
      <c r="H949" s="7" t="str">
        <f t="shared" si="389"/>
        <v>专科</v>
      </c>
      <c r="I949" s="7" t="str">
        <f t="shared" si="368"/>
        <v>幼儿园教师资格</v>
      </c>
    </row>
    <row r="950" customHeight="1" spans="1:9">
      <c r="A950" s="6">
        <v>948</v>
      </c>
      <c r="B950" s="7" t="s">
        <v>12</v>
      </c>
      <c r="C950" s="8" t="str">
        <f>"梁薇"</f>
        <v>梁薇</v>
      </c>
      <c r="D950" s="8" t="str">
        <f t="shared" si="385"/>
        <v>女</v>
      </c>
      <c r="E950" s="7" t="str">
        <f>"460004199610275020"</f>
        <v>460004199610275020</v>
      </c>
      <c r="F950" s="7" t="str">
        <f>"琼台师范高等专科学校"</f>
        <v>琼台师范高等专科学校</v>
      </c>
      <c r="G950" s="7" t="str">
        <f t="shared" si="391"/>
        <v>学前教育</v>
      </c>
      <c r="H950" s="7" t="str">
        <f t="shared" si="389"/>
        <v>专科</v>
      </c>
      <c r="I950" s="7" t="str">
        <f t="shared" si="368"/>
        <v>幼儿园教师资格</v>
      </c>
    </row>
    <row r="951" customHeight="1" spans="1:9">
      <c r="A951" s="6">
        <v>949</v>
      </c>
      <c r="B951" s="7" t="s">
        <v>11</v>
      </c>
      <c r="C951" s="8" t="str">
        <f>"李二秋"</f>
        <v>李二秋</v>
      </c>
      <c r="D951" s="8" t="str">
        <f t="shared" si="385"/>
        <v>女</v>
      </c>
      <c r="E951" s="7" t="str">
        <f>"460003199611234443"</f>
        <v>460003199611234443</v>
      </c>
      <c r="F951" s="7" t="str">
        <f t="shared" ref="F951:F957" si="392">"琼台师范学院"</f>
        <v>琼台师范学院</v>
      </c>
      <c r="G951" s="7" t="str">
        <f t="shared" si="391"/>
        <v>学前教育</v>
      </c>
      <c r="H951" s="7" t="str">
        <f t="shared" si="389"/>
        <v>专科</v>
      </c>
      <c r="I951" s="7" t="str">
        <f t="shared" si="368"/>
        <v>幼儿园教师资格</v>
      </c>
    </row>
    <row r="952" customHeight="1" spans="1:9">
      <c r="A952" s="6">
        <v>950</v>
      </c>
      <c r="B952" s="7" t="s">
        <v>11</v>
      </c>
      <c r="C952" s="8" t="str">
        <f>"林萍"</f>
        <v>林萍</v>
      </c>
      <c r="D952" s="8" t="str">
        <f t="shared" si="385"/>
        <v>女</v>
      </c>
      <c r="E952" s="7" t="str">
        <f>"460004199007034062"</f>
        <v>460004199007034062</v>
      </c>
      <c r="F952" s="7" t="str">
        <f>"琼州学院"</f>
        <v>琼州学院</v>
      </c>
      <c r="G952" s="13" t="s">
        <v>14</v>
      </c>
      <c r="H952" s="7" t="str">
        <f>"专科(高职)"</f>
        <v>专科(高职)</v>
      </c>
      <c r="I952" s="7" t="str">
        <f t="shared" si="368"/>
        <v>幼儿园教师资格</v>
      </c>
    </row>
    <row r="953" customHeight="1" spans="1:9">
      <c r="A953" s="6">
        <v>951</v>
      </c>
      <c r="B953" s="7" t="s">
        <v>11</v>
      </c>
      <c r="C953" s="8" t="str">
        <f>"黎晶晶"</f>
        <v>黎晶晶</v>
      </c>
      <c r="D953" s="8" t="str">
        <f t="shared" si="385"/>
        <v>女</v>
      </c>
      <c r="E953" s="7" t="str">
        <f>"460034199805030021"</f>
        <v>460034199805030021</v>
      </c>
      <c r="F953" s="7" t="str">
        <f>"海南师范大学"</f>
        <v>海南师范大学</v>
      </c>
      <c r="G953" s="7" t="str">
        <f t="shared" ref="G953:G967" si="393">"学前教育"</f>
        <v>学前教育</v>
      </c>
      <c r="H953" s="7" t="str">
        <f t="shared" ref="H953:H960" si="394">"专科"</f>
        <v>专科</v>
      </c>
      <c r="I953" s="7" t="str">
        <f t="shared" si="368"/>
        <v>幼儿园教师资格</v>
      </c>
    </row>
    <row r="954" customHeight="1" spans="1:9">
      <c r="A954" s="6">
        <v>952</v>
      </c>
      <c r="B954" s="7" t="s">
        <v>11</v>
      </c>
      <c r="C954" s="8" t="str">
        <f>"陈雅琳"</f>
        <v>陈雅琳</v>
      </c>
      <c r="D954" s="8" t="str">
        <f t="shared" si="385"/>
        <v>女</v>
      </c>
      <c r="E954" s="7" t="str">
        <f>"460033199507303582"</f>
        <v>460033199507303582</v>
      </c>
      <c r="F954" s="7" t="str">
        <f t="shared" si="392"/>
        <v>琼台师范学院</v>
      </c>
      <c r="G954" s="7" t="str">
        <f>"幼儿师范学校学前教育"</f>
        <v>幼儿师范学校学前教育</v>
      </c>
      <c r="H954" s="7" t="str">
        <f t="shared" si="394"/>
        <v>专科</v>
      </c>
      <c r="I954" s="7" t="str">
        <f t="shared" si="368"/>
        <v>幼儿园教师资格</v>
      </c>
    </row>
    <row r="955" customHeight="1" spans="1:9">
      <c r="A955" s="6">
        <v>953</v>
      </c>
      <c r="B955" s="7" t="s">
        <v>10</v>
      </c>
      <c r="C955" s="8" t="str">
        <f>"黄金齐"</f>
        <v>黄金齐</v>
      </c>
      <c r="D955" s="8" t="str">
        <f t="shared" si="385"/>
        <v>女</v>
      </c>
      <c r="E955" s="7" t="str">
        <f>"460022199102094525"</f>
        <v>460022199102094525</v>
      </c>
      <c r="F955" s="7" t="str">
        <f>"海南师范大学"</f>
        <v>海南师范大学</v>
      </c>
      <c r="G955" s="7" t="str">
        <f t="shared" si="393"/>
        <v>学前教育</v>
      </c>
      <c r="H955" s="7" t="str">
        <f t="shared" si="394"/>
        <v>专科</v>
      </c>
      <c r="I955" s="7" t="str">
        <f t="shared" si="368"/>
        <v>幼儿园教师资格</v>
      </c>
    </row>
    <row r="956" customHeight="1" spans="1:9">
      <c r="A956" s="6">
        <v>954</v>
      </c>
      <c r="B956" s="7" t="s">
        <v>11</v>
      </c>
      <c r="C956" s="8" t="str">
        <f>"邱晓敏"</f>
        <v>邱晓敏</v>
      </c>
      <c r="D956" s="8" t="str">
        <f t="shared" si="385"/>
        <v>女</v>
      </c>
      <c r="E956" s="7" t="str">
        <f>"460027199709181328"</f>
        <v>460027199709181328</v>
      </c>
      <c r="F956" s="7" t="str">
        <f t="shared" si="392"/>
        <v>琼台师范学院</v>
      </c>
      <c r="G956" s="7" t="str">
        <f t="shared" si="393"/>
        <v>学前教育</v>
      </c>
      <c r="H956" s="7" t="str">
        <f t="shared" si="394"/>
        <v>专科</v>
      </c>
      <c r="I956" s="7" t="str">
        <f t="shared" si="368"/>
        <v>幼儿园教师资格</v>
      </c>
    </row>
    <row r="957" customHeight="1" spans="1:9">
      <c r="A957" s="6">
        <v>955</v>
      </c>
      <c r="B957" s="7" t="s">
        <v>10</v>
      </c>
      <c r="C957" s="8" t="str">
        <f>"张韵"</f>
        <v>张韵</v>
      </c>
      <c r="D957" s="8" t="str">
        <f t="shared" si="385"/>
        <v>女</v>
      </c>
      <c r="E957" s="7" t="str">
        <f>"361002199811064822"</f>
        <v>361002199811064822</v>
      </c>
      <c r="F957" s="7" t="str">
        <f t="shared" si="392"/>
        <v>琼台师范学院</v>
      </c>
      <c r="G957" s="7" t="str">
        <f t="shared" si="393"/>
        <v>学前教育</v>
      </c>
      <c r="H957" s="7" t="str">
        <f t="shared" si="394"/>
        <v>专科</v>
      </c>
      <c r="I957" s="7" t="str">
        <f t="shared" si="368"/>
        <v>幼儿园教师资格</v>
      </c>
    </row>
    <row r="958" customHeight="1" spans="1:9">
      <c r="A958" s="6">
        <v>956</v>
      </c>
      <c r="B958" s="7" t="s">
        <v>11</v>
      </c>
      <c r="C958" s="8" t="str">
        <f>"刘红阳"</f>
        <v>刘红阳</v>
      </c>
      <c r="D958" s="8" t="str">
        <f t="shared" si="385"/>
        <v>女</v>
      </c>
      <c r="E958" s="7" t="str">
        <f>"460027199610200023"</f>
        <v>460027199610200023</v>
      </c>
      <c r="F958" s="7" t="str">
        <f>"景德镇学院"</f>
        <v>景德镇学院</v>
      </c>
      <c r="G958" s="7" t="str">
        <f t="shared" si="393"/>
        <v>学前教育</v>
      </c>
      <c r="H958" s="7" t="str">
        <f t="shared" si="394"/>
        <v>专科</v>
      </c>
      <c r="I958" s="7" t="str">
        <f t="shared" si="368"/>
        <v>幼儿园教师资格</v>
      </c>
    </row>
    <row r="959" customHeight="1" spans="1:9">
      <c r="A959" s="6">
        <v>957</v>
      </c>
      <c r="B959" s="7" t="s">
        <v>11</v>
      </c>
      <c r="C959" s="8" t="str">
        <f>"黄衡"</f>
        <v>黄衡</v>
      </c>
      <c r="D959" s="8" t="str">
        <f t="shared" si="385"/>
        <v>女</v>
      </c>
      <c r="E959" s="7" t="str">
        <f>"460006199608102326"</f>
        <v>460006199608102326</v>
      </c>
      <c r="F959" s="7" t="str">
        <f>"琼台师范学院"</f>
        <v>琼台师范学院</v>
      </c>
      <c r="G959" s="7" t="str">
        <f t="shared" si="393"/>
        <v>学前教育</v>
      </c>
      <c r="H959" s="7" t="str">
        <f t="shared" si="394"/>
        <v>专科</v>
      </c>
      <c r="I959" s="7" t="str">
        <f t="shared" si="368"/>
        <v>幼儿园教师资格</v>
      </c>
    </row>
    <row r="960" customHeight="1" spans="1:9">
      <c r="A960" s="6">
        <v>958</v>
      </c>
      <c r="B960" s="7" t="s">
        <v>11</v>
      </c>
      <c r="C960" s="8" t="str">
        <f>"谭芸香"</f>
        <v>谭芸香</v>
      </c>
      <c r="D960" s="8" t="str">
        <f t="shared" si="385"/>
        <v>女</v>
      </c>
      <c r="E960" s="7" t="str">
        <f>"460034199308150946"</f>
        <v>460034199308150946</v>
      </c>
      <c r="F960" s="7" t="str">
        <f>"琼台师范学院"</f>
        <v>琼台师范学院</v>
      </c>
      <c r="G960" s="7" t="str">
        <f t="shared" si="393"/>
        <v>学前教育</v>
      </c>
      <c r="H960" s="7" t="str">
        <f t="shared" si="394"/>
        <v>专科</v>
      </c>
      <c r="I960" s="7" t="str">
        <f t="shared" si="368"/>
        <v>幼儿园教师资格</v>
      </c>
    </row>
    <row r="961" customHeight="1" spans="1:9">
      <c r="A961" s="6">
        <v>959</v>
      </c>
      <c r="B961" s="7" t="s">
        <v>10</v>
      </c>
      <c r="C961" s="8" t="str">
        <f>"谢善娜"</f>
        <v>谢善娜</v>
      </c>
      <c r="D961" s="8" t="str">
        <f t="shared" si="385"/>
        <v>女</v>
      </c>
      <c r="E961" s="7" t="str">
        <f>"460003199610022502"</f>
        <v>460003199610022502</v>
      </c>
      <c r="F961" s="7" t="str">
        <f>"海南省琼台师范学院"</f>
        <v>海南省琼台师范学院</v>
      </c>
      <c r="G961" s="7" t="str">
        <f t="shared" si="393"/>
        <v>学前教育</v>
      </c>
      <c r="H961" s="12" t="s">
        <v>13</v>
      </c>
      <c r="I961" s="7" t="str">
        <f t="shared" si="368"/>
        <v>幼儿园教师资格</v>
      </c>
    </row>
    <row r="962" customHeight="1" spans="1:9">
      <c r="A962" s="6">
        <v>960</v>
      </c>
      <c r="B962" s="7" t="s">
        <v>11</v>
      </c>
      <c r="C962" s="8" t="str">
        <f>"邹琼平"</f>
        <v>邹琼平</v>
      </c>
      <c r="D962" s="8" t="str">
        <f t="shared" si="385"/>
        <v>女</v>
      </c>
      <c r="E962" s="7" t="str">
        <f>"460030199003196622"</f>
        <v>460030199003196622</v>
      </c>
      <c r="F962" s="7" t="str">
        <f>"江西景德镇学院"</f>
        <v>江西景德镇学院</v>
      </c>
      <c r="G962" s="7" t="str">
        <f t="shared" si="393"/>
        <v>学前教育</v>
      </c>
      <c r="H962" s="7" t="str">
        <f t="shared" ref="H962:H966" si="395">"专科"</f>
        <v>专科</v>
      </c>
      <c r="I962" s="7" t="str">
        <f t="shared" ref="I962:I1024" si="396">"幼儿园教师资格"</f>
        <v>幼儿园教师资格</v>
      </c>
    </row>
    <row r="963" customHeight="1" spans="1:9">
      <c r="A963" s="6">
        <v>961</v>
      </c>
      <c r="B963" s="7" t="s">
        <v>10</v>
      </c>
      <c r="C963" s="8" t="str">
        <f>"文怡琛"</f>
        <v>文怡琛</v>
      </c>
      <c r="D963" s="8" t="str">
        <f t="shared" si="385"/>
        <v>女</v>
      </c>
      <c r="E963" s="7" t="str">
        <f>"460007199312090465"</f>
        <v>460007199312090465</v>
      </c>
      <c r="F963" s="7" t="str">
        <f>"琼台师范高等专科学校"</f>
        <v>琼台师范高等专科学校</v>
      </c>
      <c r="G963" s="7" t="str">
        <f t="shared" si="393"/>
        <v>学前教育</v>
      </c>
      <c r="H963" s="7" t="str">
        <f t="shared" si="395"/>
        <v>专科</v>
      </c>
      <c r="I963" s="7" t="str">
        <f t="shared" si="396"/>
        <v>幼儿园教师资格</v>
      </c>
    </row>
    <row r="964" customHeight="1" spans="1:9">
      <c r="A964" s="6">
        <v>962</v>
      </c>
      <c r="B964" s="7" t="s">
        <v>11</v>
      </c>
      <c r="C964" s="8" t="str">
        <f>"何卫红"</f>
        <v>何卫红</v>
      </c>
      <c r="D964" s="8" t="str">
        <f t="shared" si="385"/>
        <v>女</v>
      </c>
      <c r="E964" s="7" t="str">
        <f>"460022199408212328"</f>
        <v>460022199408212328</v>
      </c>
      <c r="F964" s="7" t="str">
        <f>"吕梁学院"</f>
        <v>吕梁学院</v>
      </c>
      <c r="G964" s="7" t="str">
        <f t="shared" si="393"/>
        <v>学前教育</v>
      </c>
      <c r="H964" s="7" t="str">
        <f>"本科"</f>
        <v>本科</v>
      </c>
      <c r="I964" s="7" t="str">
        <f t="shared" si="396"/>
        <v>幼儿园教师资格</v>
      </c>
    </row>
    <row r="965" customHeight="1" spans="1:9">
      <c r="A965" s="6">
        <v>963</v>
      </c>
      <c r="B965" s="7" t="s">
        <v>10</v>
      </c>
      <c r="C965" s="8" t="str">
        <f>"蔡丽兰"</f>
        <v>蔡丽兰</v>
      </c>
      <c r="D965" s="8" t="str">
        <f t="shared" si="385"/>
        <v>女</v>
      </c>
      <c r="E965" s="7" t="str">
        <f>"46003619971212622X"</f>
        <v>46003619971212622X</v>
      </c>
      <c r="F965" s="7" t="str">
        <f>"琼台师范学院"</f>
        <v>琼台师范学院</v>
      </c>
      <c r="G965" s="7" t="str">
        <f t="shared" si="393"/>
        <v>学前教育</v>
      </c>
      <c r="H965" s="7" t="str">
        <f t="shared" si="395"/>
        <v>专科</v>
      </c>
      <c r="I965" s="7" t="str">
        <f t="shared" si="396"/>
        <v>幼儿园教师资格</v>
      </c>
    </row>
    <row r="966" customHeight="1" spans="1:9">
      <c r="A966" s="6">
        <v>964</v>
      </c>
      <c r="B966" s="7" t="s">
        <v>11</v>
      </c>
      <c r="C966" s="8" t="str">
        <f>"符昌熙"</f>
        <v>符昌熙</v>
      </c>
      <c r="D966" s="8" t="str">
        <f t="shared" si="385"/>
        <v>女</v>
      </c>
      <c r="E966" s="7" t="str">
        <f>"460003199512056223"</f>
        <v>460003199512056223</v>
      </c>
      <c r="F966" s="7" t="str">
        <f>"惠州学院"</f>
        <v>惠州学院</v>
      </c>
      <c r="G966" s="7" t="str">
        <f t="shared" si="393"/>
        <v>学前教育</v>
      </c>
      <c r="H966" s="7" t="str">
        <f t="shared" si="395"/>
        <v>专科</v>
      </c>
      <c r="I966" s="7" t="str">
        <f t="shared" si="396"/>
        <v>幼儿园教师资格</v>
      </c>
    </row>
    <row r="967" customHeight="1" spans="1:9">
      <c r="A967" s="6">
        <v>965</v>
      </c>
      <c r="B967" s="7" t="s">
        <v>10</v>
      </c>
      <c r="C967" s="8" t="str">
        <f>"韩芳兰"</f>
        <v>韩芳兰</v>
      </c>
      <c r="D967" s="8" t="str">
        <f t="shared" si="385"/>
        <v>女</v>
      </c>
      <c r="E967" s="7" t="str">
        <f>"46900319940109222X"</f>
        <v>46900319940109222X</v>
      </c>
      <c r="F967" s="7" t="str">
        <f>"江西省景德镇学院"</f>
        <v>江西省景德镇学院</v>
      </c>
      <c r="G967" s="7" t="str">
        <f t="shared" si="393"/>
        <v>学前教育</v>
      </c>
      <c r="H967" s="12" t="s">
        <v>13</v>
      </c>
      <c r="I967" s="7" t="str">
        <f t="shared" si="396"/>
        <v>幼儿园教师资格</v>
      </c>
    </row>
    <row r="968" customHeight="1" spans="1:9">
      <c r="A968" s="6">
        <v>966</v>
      </c>
      <c r="B968" s="7" t="s">
        <v>10</v>
      </c>
      <c r="C968" s="8" t="str">
        <f>"刘莉"</f>
        <v>刘莉</v>
      </c>
      <c r="D968" s="8" t="str">
        <f t="shared" si="385"/>
        <v>女</v>
      </c>
      <c r="E968" s="7" t="str">
        <f>"460031199108153625"</f>
        <v>460031199108153625</v>
      </c>
      <c r="F968" s="7" t="str">
        <f>"琼台师范高等专科学校"</f>
        <v>琼台师范高等专科学校</v>
      </c>
      <c r="G968" s="7" t="str">
        <f>"学前教育（英语教育方向）"</f>
        <v>学前教育（英语教育方向）</v>
      </c>
      <c r="H968" s="7" t="str">
        <f t="shared" ref="H968:H974" si="397">"专科"</f>
        <v>专科</v>
      </c>
      <c r="I968" s="7" t="str">
        <f t="shared" si="396"/>
        <v>幼儿园教师资格</v>
      </c>
    </row>
    <row r="969" customHeight="1" spans="1:9">
      <c r="A969" s="6">
        <v>967</v>
      </c>
      <c r="B969" s="7" t="s">
        <v>11</v>
      </c>
      <c r="C969" s="8" t="str">
        <f>"吴庆莲"</f>
        <v>吴庆莲</v>
      </c>
      <c r="D969" s="8" t="str">
        <f t="shared" si="385"/>
        <v>女</v>
      </c>
      <c r="E969" s="7" t="str">
        <f>"460003199404256623"</f>
        <v>460003199404256623</v>
      </c>
      <c r="F969" s="7" t="str">
        <f>"海口市琼台师范学院"</f>
        <v>海口市琼台师范学院</v>
      </c>
      <c r="G969" s="7" t="str">
        <f>"学前教育专业"</f>
        <v>学前教育专业</v>
      </c>
      <c r="H969" s="7" t="str">
        <f t="shared" si="397"/>
        <v>专科</v>
      </c>
      <c r="I969" s="7" t="str">
        <f t="shared" si="396"/>
        <v>幼儿园教师资格</v>
      </c>
    </row>
    <row r="970" customHeight="1" spans="1:9">
      <c r="A970" s="6">
        <v>968</v>
      </c>
      <c r="B970" s="7" t="s">
        <v>11</v>
      </c>
      <c r="C970" s="8" t="str">
        <f>"周琅"</f>
        <v>周琅</v>
      </c>
      <c r="D970" s="8" t="str">
        <f t="shared" si="385"/>
        <v>女</v>
      </c>
      <c r="E970" s="7" t="str">
        <f>"460033199602074183"</f>
        <v>460033199602074183</v>
      </c>
      <c r="F970" s="7" t="str">
        <f>"海南热带海洋学院"</f>
        <v>海南热带海洋学院</v>
      </c>
      <c r="G970" s="7" t="str">
        <f>"学前教育（英语方向）"</f>
        <v>学前教育（英语方向）</v>
      </c>
      <c r="H970" s="7" t="str">
        <f t="shared" si="397"/>
        <v>专科</v>
      </c>
      <c r="I970" s="7" t="str">
        <f t="shared" si="396"/>
        <v>幼儿园教师资格</v>
      </c>
    </row>
    <row r="971" customHeight="1" spans="1:9">
      <c r="A971" s="6">
        <v>969</v>
      </c>
      <c r="B971" s="7" t="s">
        <v>11</v>
      </c>
      <c r="C971" s="8" t="str">
        <f>"曾嫣"</f>
        <v>曾嫣</v>
      </c>
      <c r="D971" s="8" t="str">
        <f t="shared" si="385"/>
        <v>女</v>
      </c>
      <c r="E971" s="7" t="str">
        <f>"460027199906173423"</f>
        <v>460027199906173423</v>
      </c>
      <c r="F971" s="7" t="str">
        <f t="shared" ref="F971:F978" si="398">"琼台师范学院"</f>
        <v>琼台师范学院</v>
      </c>
      <c r="G971" s="7" t="str">
        <f t="shared" ref="G971:G974" si="399">"学前教育"</f>
        <v>学前教育</v>
      </c>
      <c r="H971" s="7" t="str">
        <f t="shared" si="397"/>
        <v>专科</v>
      </c>
      <c r="I971" s="7" t="str">
        <f t="shared" si="396"/>
        <v>幼儿园教师资格</v>
      </c>
    </row>
    <row r="972" customHeight="1" spans="1:9">
      <c r="A972" s="6">
        <v>970</v>
      </c>
      <c r="B972" s="7" t="s">
        <v>11</v>
      </c>
      <c r="C972" s="8" t="str">
        <f>"林丹丹"</f>
        <v>林丹丹</v>
      </c>
      <c r="D972" s="8" t="str">
        <f t="shared" si="385"/>
        <v>女</v>
      </c>
      <c r="E972" s="7" t="str">
        <f>"460028199508010422"</f>
        <v>460028199508010422</v>
      </c>
      <c r="F972" s="7" t="str">
        <f>"琼台师范高等专科学校"</f>
        <v>琼台师范高等专科学校</v>
      </c>
      <c r="G972" s="7" t="str">
        <f t="shared" si="399"/>
        <v>学前教育</v>
      </c>
      <c r="H972" s="7" t="str">
        <f t="shared" si="397"/>
        <v>专科</v>
      </c>
      <c r="I972" s="7" t="str">
        <f t="shared" si="396"/>
        <v>幼儿园教师资格</v>
      </c>
    </row>
    <row r="973" customHeight="1" spans="1:9">
      <c r="A973" s="6">
        <v>971</v>
      </c>
      <c r="B973" s="7" t="s">
        <v>10</v>
      </c>
      <c r="C973" s="8" t="str">
        <f>"郭芯伶"</f>
        <v>郭芯伶</v>
      </c>
      <c r="D973" s="8" t="str">
        <f t="shared" si="385"/>
        <v>女</v>
      </c>
      <c r="E973" s="7" t="str">
        <f>"460033199908024488"</f>
        <v>460033199908024488</v>
      </c>
      <c r="F973" s="7" t="str">
        <f t="shared" si="398"/>
        <v>琼台师范学院</v>
      </c>
      <c r="G973" s="7" t="str">
        <f t="shared" si="399"/>
        <v>学前教育</v>
      </c>
      <c r="H973" s="7" t="str">
        <f t="shared" si="397"/>
        <v>专科</v>
      </c>
      <c r="I973" s="7" t="str">
        <f t="shared" si="396"/>
        <v>幼儿园教师资格</v>
      </c>
    </row>
    <row r="974" customHeight="1" spans="1:9">
      <c r="A974" s="6">
        <v>972</v>
      </c>
      <c r="B974" s="7" t="s">
        <v>11</v>
      </c>
      <c r="C974" s="8" t="str">
        <f>"严芸"</f>
        <v>严芸</v>
      </c>
      <c r="D974" s="8" t="str">
        <f t="shared" si="385"/>
        <v>女</v>
      </c>
      <c r="E974" s="7" t="str">
        <f>"460104199602210628"</f>
        <v>460104199602210628</v>
      </c>
      <c r="F974" s="7" t="str">
        <f>"琼台师范高等专科学校"</f>
        <v>琼台师范高等专科学校</v>
      </c>
      <c r="G974" s="7" t="str">
        <f t="shared" si="399"/>
        <v>学前教育</v>
      </c>
      <c r="H974" s="7" t="str">
        <f t="shared" si="397"/>
        <v>专科</v>
      </c>
      <c r="I974" s="7" t="str">
        <f t="shared" si="396"/>
        <v>幼儿园教师资格</v>
      </c>
    </row>
    <row r="975" customHeight="1" spans="1:9">
      <c r="A975" s="6">
        <v>973</v>
      </c>
      <c r="B975" s="7" t="s">
        <v>10</v>
      </c>
      <c r="C975" s="8" t="str">
        <f>"陈金丽"</f>
        <v>陈金丽</v>
      </c>
      <c r="D975" s="8" t="str">
        <f t="shared" si="385"/>
        <v>女</v>
      </c>
      <c r="E975" s="7" t="str">
        <f>"460034199503070423"</f>
        <v>460034199503070423</v>
      </c>
      <c r="F975" s="7" t="str">
        <f t="shared" si="398"/>
        <v>琼台师范学院</v>
      </c>
      <c r="G975" s="7" t="str">
        <f>"学前教育（英语方向）"</f>
        <v>学前教育（英语方向）</v>
      </c>
      <c r="H975" s="7" t="str">
        <f>"专科(高职)"</f>
        <v>专科(高职)</v>
      </c>
      <c r="I975" s="7" t="str">
        <f t="shared" si="396"/>
        <v>幼儿园教师资格</v>
      </c>
    </row>
    <row r="976" customHeight="1" spans="1:9">
      <c r="A976" s="6">
        <v>974</v>
      </c>
      <c r="B976" s="7" t="s">
        <v>11</v>
      </c>
      <c r="C976" s="8" t="str">
        <f>"蔡冰洁"</f>
        <v>蔡冰洁</v>
      </c>
      <c r="D976" s="8" t="str">
        <f t="shared" si="385"/>
        <v>女</v>
      </c>
      <c r="E976" s="7" t="str">
        <f>"460006199608174020"</f>
        <v>460006199608174020</v>
      </c>
      <c r="F976" s="7" t="str">
        <f t="shared" si="398"/>
        <v>琼台师范学院</v>
      </c>
      <c r="G976" s="7" t="str">
        <f t="shared" ref="G976:G982" si="400">"学前教育"</f>
        <v>学前教育</v>
      </c>
      <c r="H976" s="7" t="str">
        <f t="shared" ref="H976:H978" si="401">"专科"</f>
        <v>专科</v>
      </c>
      <c r="I976" s="7" t="str">
        <f t="shared" si="396"/>
        <v>幼儿园教师资格</v>
      </c>
    </row>
    <row r="977" customHeight="1" spans="1:9">
      <c r="A977" s="6">
        <v>975</v>
      </c>
      <c r="B977" s="7" t="s">
        <v>10</v>
      </c>
      <c r="C977" s="8" t="str">
        <f>"王秋英"</f>
        <v>王秋英</v>
      </c>
      <c r="D977" s="8" t="str">
        <f t="shared" si="385"/>
        <v>女</v>
      </c>
      <c r="E977" s="7" t="str">
        <f>"469024199705232043"</f>
        <v>469024199705232043</v>
      </c>
      <c r="F977" s="7" t="str">
        <f t="shared" si="398"/>
        <v>琼台师范学院</v>
      </c>
      <c r="G977" s="7" t="str">
        <f t="shared" si="400"/>
        <v>学前教育</v>
      </c>
      <c r="H977" s="7" t="str">
        <f t="shared" si="401"/>
        <v>专科</v>
      </c>
      <c r="I977" s="7" t="str">
        <f t="shared" si="396"/>
        <v>幼儿园教师资格</v>
      </c>
    </row>
    <row r="978" customHeight="1" spans="1:9">
      <c r="A978" s="6">
        <v>976</v>
      </c>
      <c r="B978" s="7" t="s">
        <v>10</v>
      </c>
      <c r="C978" s="8" t="str">
        <f>"何芷瑶"</f>
        <v>何芷瑶</v>
      </c>
      <c r="D978" s="8" t="str">
        <f t="shared" si="385"/>
        <v>女</v>
      </c>
      <c r="E978" s="7" t="str">
        <f>"460006199802190024"</f>
        <v>460006199802190024</v>
      </c>
      <c r="F978" s="7" t="str">
        <f t="shared" si="398"/>
        <v>琼台师范学院</v>
      </c>
      <c r="G978" s="7" t="str">
        <f t="shared" si="400"/>
        <v>学前教育</v>
      </c>
      <c r="H978" s="7" t="str">
        <f t="shared" si="401"/>
        <v>专科</v>
      </c>
      <c r="I978" s="7" t="str">
        <f t="shared" si="396"/>
        <v>幼儿园教师资格</v>
      </c>
    </row>
    <row r="979" customHeight="1" spans="1:9">
      <c r="A979" s="6">
        <v>977</v>
      </c>
      <c r="B979" s="7" t="s">
        <v>11</v>
      </c>
      <c r="C979" s="8" t="str">
        <f>"曾冬鑫"</f>
        <v>曾冬鑫</v>
      </c>
      <c r="D979" s="8" t="str">
        <f t="shared" si="385"/>
        <v>女</v>
      </c>
      <c r="E979" s="7" t="str">
        <f>"460003199608312826"</f>
        <v>460003199608312826</v>
      </c>
      <c r="F979" s="7" t="str">
        <f>"贵州工程应用技术学院"</f>
        <v>贵州工程应用技术学院</v>
      </c>
      <c r="G979" s="7" t="str">
        <f t="shared" si="400"/>
        <v>学前教育</v>
      </c>
      <c r="H979" s="7" t="str">
        <f t="shared" ref="H979:H981" si="402">"本科"</f>
        <v>本科</v>
      </c>
      <c r="I979" s="7" t="str">
        <f t="shared" si="396"/>
        <v>幼儿园教师资格</v>
      </c>
    </row>
    <row r="980" customHeight="1" spans="1:9">
      <c r="A980" s="6">
        <v>978</v>
      </c>
      <c r="B980" s="7" t="s">
        <v>10</v>
      </c>
      <c r="C980" s="8" t="str">
        <f>"冯琦雯"</f>
        <v>冯琦雯</v>
      </c>
      <c r="D980" s="8" t="str">
        <f t="shared" si="385"/>
        <v>女</v>
      </c>
      <c r="E980" s="7" t="str">
        <f>"460103199710240043"</f>
        <v>460103199710240043</v>
      </c>
      <c r="F980" s="7" t="str">
        <f>"云南师范大学商学院"</f>
        <v>云南师范大学商学院</v>
      </c>
      <c r="G980" s="7" t="str">
        <f t="shared" si="400"/>
        <v>学前教育</v>
      </c>
      <c r="H980" s="7" t="str">
        <f t="shared" si="402"/>
        <v>本科</v>
      </c>
      <c r="I980" s="7" t="str">
        <f t="shared" si="396"/>
        <v>幼儿园教师资格</v>
      </c>
    </row>
    <row r="981" customHeight="1" spans="1:9">
      <c r="A981" s="6">
        <v>979</v>
      </c>
      <c r="B981" s="7" t="s">
        <v>10</v>
      </c>
      <c r="C981" s="8" t="str">
        <f>"刘秀玉"</f>
        <v>刘秀玉</v>
      </c>
      <c r="D981" s="8" t="str">
        <f t="shared" si="385"/>
        <v>女</v>
      </c>
      <c r="E981" s="7" t="str">
        <f>"460027199403222924"</f>
        <v>460027199403222924</v>
      </c>
      <c r="F981" s="7" t="str">
        <f>"海南热带海洋学院"</f>
        <v>海南热带海洋学院</v>
      </c>
      <c r="G981" s="7" t="str">
        <f t="shared" si="400"/>
        <v>学前教育</v>
      </c>
      <c r="H981" s="7" t="str">
        <f t="shared" si="402"/>
        <v>本科</v>
      </c>
      <c r="I981" s="7" t="str">
        <f t="shared" si="396"/>
        <v>幼儿园教师资格</v>
      </c>
    </row>
    <row r="982" customHeight="1" spans="1:9">
      <c r="A982" s="6">
        <v>980</v>
      </c>
      <c r="B982" s="7" t="s">
        <v>12</v>
      </c>
      <c r="C982" s="8" t="str">
        <f>"王大雅"</f>
        <v>王大雅</v>
      </c>
      <c r="D982" s="8" t="str">
        <f t="shared" si="385"/>
        <v>女</v>
      </c>
      <c r="E982" s="7" t="str">
        <f>"460033199404084567"</f>
        <v>460033199404084567</v>
      </c>
      <c r="F982" s="7" t="str">
        <f>"琼台师范学院"</f>
        <v>琼台师范学院</v>
      </c>
      <c r="G982" s="7" t="str">
        <f t="shared" si="400"/>
        <v>学前教育</v>
      </c>
      <c r="H982" s="7" t="str">
        <f t="shared" ref="H982:H992" si="403">"专科"</f>
        <v>专科</v>
      </c>
      <c r="I982" s="7" t="str">
        <f t="shared" si="396"/>
        <v>幼儿园教师资格</v>
      </c>
    </row>
    <row r="983" customHeight="1" spans="1:9">
      <c r="A983" s="6">
        <v>981</v>
      </c>
      <c r="B983" s="7" t="s">
        <v>11</v>
      </c>
      <c r="C983" s="8" t="str">
        <f>"顾娟娟"</f>
        <v>顾娟娟</v>
      </c>
      <c r="D983" s="8" t="str">
        <f t="shared" si="385"/>
        <v>女</v>
      </c>
      <c r="E983" s="7" t="str">
        <f>"460006199707275222"</f>
        <v>460006199707275222</v>
      </c>
      <c r="F983" s="7" t="str">
        <f>"曲靖师范学院"</f>
        <v>曲靖师范学院</v>
      </c>
      <c r="G983" s="7" t="str">
        <f>"学前教育专业"</f>
        <v>学前教育专业</v>
      </c>
      <c r="H983" s="7" t="str">
        <f>"本科"</f>
        <v>本科</v>
      </c>
      <c r="I983" s="7" t="str">
        <f t="shared" si="396"/>
        <v>幼儿园教师资格</v>
      </c>
    </row>
    <row r="984" customHeight="1" spans="1:9">
      <c r="A984" s="6">
        <v>982</v>
      </c>
      <c r="B984" s="7" t="s">
        <v>12</v>
      </c>
      <c r="C984" s="8" t="str">
        <f>"王贞英"</f>
        <v>王贞英</v>
      </c>
      <c r="D984" s="8" t="str">
        <f t="shared" si="385"/>
        <v>女</v>
      </c>
      <c r="E984" s="7" t="str">
        <f>"460027199702236226"</f>
        <v>460027199702236226</v>
      </c>
      <c r="F984" s="7" t="str">
        <f>"琼台师范学院"</f>
        <v>琼台师范学院</v>
      </c>
      <c r="G984" s="7" t="str">
        <f t="shared" ref="G984:G990" si="404">"学前教育"</f>
        <v>学前教育</v>
      </c>
      <c r="H984" s="7" t="str">
        <f t="shared" si="403"/>
        <v>专科</v>
      </c>
      <c r="I984" s="7" t="str">
        <f t="shared" si="396"/>
        <v>幼儿园教师资格</v>
      </c>
    </row>
    <row r="985" customHeight="1" spans="1:9">
      <c r="A985" s="6">
        <v>983</v>
      </c>
      <c r="B985" s="7" t="s">
        <v>10</v>
      </c>
      <c r="C985" s="8" t="str">
        <f>"林娟"</f>
        <v>林娟</v>
      </c>
      <c r="D985" s="8" t="str">
        <f t="shared" si="385"/>
        <v>女</v>
      </c>
      <c r="E985" s="7" t="str">
        <f>"460003199604155827"</f>
        <v>460003199604155827</v>
      </c>
      <c r="F985" s="7" t="str">
        <f>"海南师范大学"</f>
        <v>海南师范大学</v>
      </c>
      <c r="G985" s="7" t="str">
        <f t="shared" si="404"/>
        <v>学前教育</v>
      </c>
      <c r="H985" s="7" t="str">
        <f>"本科"</f>
        <v>本科</v>
      </c>
      <c r="I985" s="7" t="str">
        <f t="shared" si="396"/>
        <v>幼儿园教师资格</v>
      </c>
    </row>
    <row r="986" customHeight="1" spans="1:9">
      <c r="A986" s="6">
        <v>984</v>
      </c>
      <c r="B986" s="7" t="s">
        <v>12</v>
      </c>
      <c r="C986" s="8" t="str">
        <f>"胡李倩"</f>
        <v>胡李倩</v>
      </c>
      <c r="D986" s="8" t="str">
        <f t="shared" si="385"/>
        <v>女</v>
      </c>
      <c r="E986" s="7" t="str">
        <f>"460007199410168027"</f>
        <v>460007199410168027</v>
      </c>
      <c r="F986" s="7" t="str">
        <f>"海南师范大学"</f>
        <v>海南师范大学</v>
      </c>
      <c r="G986" s="7" t="str">
        <f t="shared" si="404"/>
        <v>学前教育</v>
      </c>
      <c r="H986" s="7" t="str">
        <f t="shared" si="403"/>
        <v>专科</v>
      </c>
      <c r="I986" s="7" t="str">
        <f t="shared" si="396"/>
        <v>幼儿园教师资格</v>
      </c>
    </row>
    <row r="987" customHeight="1" spans="1:9">
      <c r="A987" s="6">
        <v>985</v>
      </c>
      <c r="B987" s="7" t="s">
        <v>11</v>
      </c>
      <c r="C987" s="8" t="str">
        <f>"梁青青"</f>
        <v>梁青青</v>
      </c>
      <c r="D987" s="8" t="str">
        <f t="shared" si="385"/>
        <v>女</v>
      </c>
      <c r="E987" s="7" t="str">
        <f>"460103199511061528"</f>
        <v>460103199511061528</v>
      </c>
      <c r="F987" s="7" t="str">
        <f>"海南省热带海洋学院"</f>
        <v>海南省热带海洋学院</v>
      </c>
      <c r="G987" s="7" t="str">
        <f t="shared" si="404"/>
        <v>学前教育</v>
      </c>
      <c r="H987" s="7" t="str">
        <f t="shared" si="403"/>
        <v>专科</v>
      </c>
      <c r="I987" s="7" t="str">
        <f t="shared" si="396"/>
        <v>幼儿园教师资格</v>
      </c>
    </row>
    <row r="988" customHeight="1" spans="1:9">
      <c r="A988" s="6">
        <v>986</v>
      </c>
      <c r="B988" s="7" t="s">
        <v>10</v>
      </c>
      <c r="C988" s="8" t="str">
        <f>"陈敏"</f>
        <v>陈敏</v>
      </c>
      <c r="D988" s="8" t="str">
        <f t="shared" si="385"/>
        <v>女</v>
      </c>
      <c r="E988" s="7" t="str">
        <f>"460006199912104422"</f>
        <v>460006199912104422</v>
      </c>
      <c r="F988" s="7" t="str">
        <f>"琼台师范学院"</f>
        <v>琼台师范学院</v>
      </c>
      <c r="G988" s="7" t="str">
        <f t="shared" si="404"/>
        <v>学前教育</v>
      </c>
      <c r="H988" s="7" t="str">
        <f t="shared" si="403"/>
        <v>专科</v>
      </c>
      <c r="I988" s="7" t="str">
        <f t="shared" si="396"/>
        <v>幼儿园教师资格</v>
      </c>
    </row>
    <row r="989" customHeight="1" spans="1:9">
      <c r="A989" s="6">
        <v>987</v>
      </c>
      <c r="B989" s="7" t="s">
        <v>11</v>
      </c>
      <c r="C989" s="8" t="str">
        <f>"李震彩"</f>
        <v>李震彩</v>
      </c>
      <c r="D989" s="8" t="str">
        <f t="shared" si="385"/>
        <v>女</v>
      </c>
      <c r="E989" s="7" t="str">
        <f>"460003199403114228"</f>
        <v>460003199403114228</v>
      </c>
      <c r="F989" s="7" t="str">
        <f>"湖北省潜江市江汉艺术职业学院"</f>
        <v>湖北省潜江市江汉艺术职业学院</v>
      </c>
      <c r="G989" s="7" t="str">
        <f t="shared" si="404"/>
        <v>学前教育</v>
      </c>
      <c r="H989" s="7" t="str">
        <f t="shared" si="403"/>
        <v>专科</v>
      </c>
      <c r="I989" s="7" t="str">
        <f t="shared" si="396"/>
        <v>幼儿园教师资格</v>
      </c>
    </row>
    <row r="990" customHeight="1" spans="1:9">
      <c r="A990" s="6">
        <v>988</v>
      </c>
      <c r="B990" s="7" t="s">
        <v>12</v>
      </c>
      <c r="C990" s="8" t="str">
        <f>"冼送玉"</f>
        <v>冼送玉</v>
      </c>
      <c r="D990" s="8" t="str">
        <f t="shared" si="385"/>
        <v>女</v>
      </c>
      <c r="E990" s="7" t="str">
        <f>"469024199305082429"</f>
        <v>469024199305082429</v>
      </c>
      <c r="F990" s="7" t="str">
        <f t="shared" ref="F990:F995" si="405">"琼台师范学院"</f>
        <v>琼台师范学院</v>
      </c>
      <c r="G990" s="7" t="str">
        <f t="shared" si="404"/>
        <v>学前教育</v>
      </c>
      <c r="H990" s="7" t="str">
        <f t="shared" si="403"/>
        <v>专科</v>
      </c>
      <c r="I990" s="7" t="str">
        <f t="shared" si="396"/>
        <v>幼儿园教师资格</v>
      </c>
    </row>
    <row r="991" customHeight="1" spans="1:9">
      <c r="A991" s="6">
        <v>989</v>
      </c>
      <c r="B991" s="7" t="s">
        <v>11</v>
      </c>
      <c r="C991" s="8" t="str">
        <f>"黄子芳"</f>
        <v>黄子芳</v>
      </c>
      <c r="D991" s="8" t="str">
        <f t="shared" si="385"/>
        <v>女</v>
      </c>
      <c r="E991" s="7" t="str">
        <f>"460027199909111324"</f>
        <v>460027199909111324</v>
      </c>
      <c r="F991" s="7" t="str">
        <f>"海南省琼台师范学校"</f>
        <v>海南省琼台师范学校</v>
      </c>
      <c r="G991" s="7" t="str">
        <f>"学前教育专业"</f>
        <v>学前教育专业</v>
      </c>
      <c r="H991" s="7" t="str">
        <f t="shared" si="403"/>
        <v>专科</v>
      </c>
      <c r="I991" s="7" t="str">
        <f t="shared" si="396"/>
        <v>幼儿园教师资格</v>
      </c>
    </row>
    <row r="992" customHeight="1" spans="1:9">
      <c r="A992" s="6">
        <v>990</v>
      </c>
      <c r="B992" s="7" t="s">
        <v>12</v>
      </c>
      <c r="C992" s="8" t="str">
        <f>"王如娴"</f>
        <v>王如娴</v>
      </c>
      <c r="D992" s="8" t="str">
        <f t="shared" si="385"/>
        <v>女</v>
      </c>
      <c r="E992" s="7" t="str">
        <f>"469024199710083222"</f>
        <v>469024199710083222</v>
      </c>
      <c r="F992" s="7" t="str">
        <f>"海南师范大学"</f>
        <v>海南师范大学</v>
      </c>
      <c r="G992" s="7" t="str">
        <f t="shared" ref="G992:G996" si="406">"学前教育"</f>
        <v>学前教育</v>
      </c>
      <c r="H992" s="7" t="str">
        <f t="shared" si="403"/>
        <v>专科</v>
      </c>
      <c r="I992" s="7" t="str">
        <f t="shared" si="396"/>
        <v>幼儿园教师资格</v>
      </c>
    </row>
    <row r="993" customHeight="1" spans="1:9">
      <c r="A993" s="6">
        <v>991</v>
      </c>
      <c r="B993" s="7" t="s">
        <v>10</v>
      </c>
      <c r="C993" s="8" t="str">
        <f>"王婷"</f>
        <v>王婷</v>
      </c>
      <c r="D993" s="8" t="str">
        <f t="shared" si="385"/>
        <v>女</v>
      </c>
      <c r="E993" s="7" t="str">
        <f>"513701199104036429"</f>
        <v>513701199104036429</v>
      </c>
      <c r="F993" s="7" t="str">
        <f>"遵义师范学院"</f>
        <v>遵义师范学院</v>
      </c>
      <c r="G993" s="7" t="str">
        <f t="shared" si="406"/>
        <v>学前教育</v>
      </c>
      <c r="H993" s="7" t="str">
        <f>"本科"</f>
        <v>本科</v>
      </c>
      <c r="I993" s="7" t="str">
        <f t="shared" si="396"/>
        <v>幼儿园教师资格</v>
      </c>
    </row>
    <row r="994" customHeight="1" spans="1:9">
      <c r="A994" s="6">
        <v>992</v>
      </c>
      <c r="B994" s="7" t="s">
        <v>10</v>
      </c>
      <c r="C994" s="8" t="str">
        <f>"曹金"</f>
        <v>曹金</v>
      </c>
      <c r="D994" s="8" t="str">
        <f t="shared" si="385"/>
        <v>女</v>
      </c>
      <c r="E994" s="7" t="str">
        <f>"460001199801192229"</f>
        <v>460001199801192229</v>
      </c>
      <c r="F994" s="7" t="str">
        <f t="shared" si="405"/>
        <v>琼台师范学院</v>
      </c>
      <c r="G994" s="7" t="str">
        <f t="shared" si="406"/>
        <v>学前教育</v>
      </c>
      <c r="H994" s="7" t="str">
        <f t="shared" ref="H994:H998" si="407">"专科"</f>
        <v>专科</v>
      </c>
      <c r="I994" s="7" t="str">
        <f t="shared" si="396"/>
        <v>幼儿园教师资格</v>
      </c>
    </row>
    <row r="995" customHeight="1" spans="1:9">
      <c r="A995" s="6">
        <v>993</v>
      </c>
      <c r="B995" s="7" t="s">
        <v>12</v>
      </c>
      <c r="C995" s="8" t="str">
        <f>"赵春娜"</f>
        <v>赵春娜</v>
      </c>
      <c r="D995" s="8" t="str">
        <f t="shared" si="385"/>
        <v>女</v>
      </c>
      <c r="E995" s="7" t="str">
        <f>"469007199512087306"</f>
        <v>469007199512087306</v>
      </c>
      <c r="F995" s="7" t="str">
        <f t="shared" si="405"/>
        <v>琼台师范学院</v>
      </c>
      <c r="G995" s="7" t="str">
        <f t="shared" si="406"/>
        <v>学前教育</v>
      </c>
      <c r="H995" s="7" t="str">
        <f t="shared" si="407"/>
        <v>专科</v>
      </c>
      <c r="I995" s="7" t="str">
        <f t="shared" si="396"/>
        <v>幼儿园教师资格</v>
      </c>
    </row>
    <row r="996" customHeight="1" spans="1:9">
      <c r="A996" s="6">
        <v>994</v>
      </c>
      <c r="B996" s="7" t="s">
        <v>12</v>
      </c>
      <c r="C996" s="8" t="str">
        <f>"李春兰"</f>
        <v>李春兰</v>
      </c>
      <c r="D996" s="8" t="str">
        <f t="shared" si="385"/>
        <v>女</v>
      </c>
      <c r="E996" s="7" t="str">
        <f>"460003199207232243"</f>
        <v>460003199207232243</v>
      </c>
      <c r="F996" s="7" t="str">
        <f>"海南热带海洋学院"</f>
        <v>海南热带海洋学院</v>
      </c>
      <c r="G996" s="7" t="str">
        <f t="shared" si="406"/>
        <v>学前教育</v>
      </c>
      <c r="H996" s="7" t="str">
        <f t="shared" si="407"/>
        <v>专科</v>
      </c>
      <c r="I996" s="7" t="str">
        <f t="shared" si="396"/>
        <v>幼儿园教师资格</v>
      </c>
    </row>
    <row r="997" customHeight="1" spans="1:9">
      <c r="A997" s="6">
        <v>995</v>
      </c>
      <c r="B997" s="7" t="s">
        <v>11</v>
      </c>
      <c r="C997" s="8" t="str">
        <f>"陈小俊"</f>
        <v>陈小俊</v>
      </c>
      <c r="D997" s="8" t="str">
        <f>"男"</f>
        <v>男</v>
      </c>
      <c r="E997" s="7" t="str">
        <f>"460028199305060016"</f>
        <v>460028199305060016</v>
      </c>
      <c r="F997" s="7" t="str">
        <f>"琼州学院"</f>
        <v>琼州学院</v>
      </c>
      <c r="G997" s="7" t="str">
        <f>"学前教育（师范）专业"</f>
        <v>学前教育（师范）专业</v>
      </c>
      <c r="H997" s="7" t="str">
        <f t="shared" si="407"/>
        <v>专科</v>
      </c>
      <c r="I997" s="7" t="str">
        <f t="shared" si="396"/>
        <v>幼儿园教师资格</v>
      </c>
    </row>
    <row r="998" customHeight="1" spans="1:9">
      <c r="A998" s="6">
        <v>996</v>
      </c>
      <c r="B998" s="7" t="s">
        <v>11</v>
      </c>
      <c r="C998" s="8" t="str">
        <f>"王剑俐"</f>
        <v>王剑俐</v>
      </c>
      <c r="D998" s="8" t="str">
        <f t="shared" ref="D998:D1060" si="408">"女"</f>
        <v>女</v>
      </c>
      <c r="E998" s="7" t="str">
        <f>"460028199208256041"</f>
        <v>460028199208256041</v>
      </c>
      <c r="F998" s="7" t="str">
        <f>"琼州学院"</f>
        <v>琼州学院</v>
      </c>
      <c r="G998" s="7" t="str">
        <f t="shared" ref="G998:G1005" si="409">"学前教育"</f>
        <v>学前教育</v>
      </c>
      <c r="H998" s="7" t="str">
        <f t="shared" si="407"/>
        <v>专科</v>
      </c>
      <c r="I998" s="7" t="str">
        <f t="shared" si="396"/>
        <v>幼儿园教师资格</v>
      </c>
    </row>
    <row r="999" customHeight="1" spans="1:9">
      <c r="A999" s="6">
        <v>997</v>
      </c>
      <c r="B999" s="7" t="s">
        <v>10</v>
      </c>
      <c r="C999" s="8" t="str">
        <f>"姚淑情"</f>
        <v>姚淑情</v>
      </c>
      <c r="D999" s="8" t="str">
        <f t="shared" si="408"/>
        <v>女</v>
      </c>
      <c r="E999" s="7" t="str">
        <f>"362228199208231820"</f>
        <v>362228199208231820</v>
      </c>
      <c r="F999" s="7" t="str">
        <f>"赣南师范大学"</f>
        <v>赣南师范大学</v>
      </c>
      <c r="G999" s="7" t="str">
        <f t="shared" si="409"/>
        <v>学前教育</v>
      </c>
      <c r="H999" s="7" t="str">
        <f>"本科"</f>
        <v>本科</v>
      </c>
      <c r="I999" s="7" t="str">
        <f t="shared" si="396"/>
        <v>幼儿园教师资格</v>
      </c>
    </row>
    <row r="1000" customHeight="1" spans="1:9">
      <c r="A1000" s="6">
        <v>998</v>
      </c>
      <c r="B1000" s="7" t="s">
        <v>11</v>
      </c>
      <c r="C1000" s="8" t="str">
        <f>"昌于群"</f>
        <v>昌于群</v>
      </c>
      <c r="D1000" s="8" t="str">
        <f t="shared" si="408"/>
        <v>女</v>
      </c>
      <c r="E1000" s="7" t="str">
        <f>"469022199805034228"</f>
        <v>469022199805034228</v>
      </c>
      <c r="F1000" s="7" t="str">
        <f t="shared" ref="F1000:F1005" si="410">"琼台师范学院"</f>
        <v>琼台师范学院</v>
      </c>
      <c r="G1000" s="7" t="str">
        <f t="shared" si="409"/>
        <v>学前教育</v>
      </c>
      <c r="H1000" s="7" t="str">
        <f t="shared" ref="H1000:H1003" si="411">"专科"</f>
        <v>专科</v>
      </c>
      <c r="I1000" s="7" t="str">
        <f t="shared" si="396"/>
        <v>幼儿园教师资格</v>
      </c>
    </row>
    <row r="1001" customHeight="1" spans="1:9">
      <c r="A1001" s="6">
        <v>999</v>
      </c>
      <c r="B1001" s="7" t="s">
        <v>10</v>
      </c>
      <c r="C1001" s="8" t="str">
        <f>"罗文娇"</f>
        <v>罗文娇</v>
      </c>
      <c r="D1001" s="8" t="str">
        <f t="shared" si="408"/>
        <v>女</v>
      </c>
      <c r="E1001" s="7" t="str">
        <f>"469022199606181823"</f>
        <v>469022199606181823</v>
      </c>
      <c r="F1001" s="7" t="str">
        <f>"海南琼台师范学院"</f>
        <v>海南琼台师范学院</v>
      </c>
      <c r="G1001" s="7" t="str">
        <f t="shared" si="409"/>
        <v>学前教育</v>
      </c>
      <c r="H1001" s="7" t="str">
        <f t="shared" si="411"/>
        <v>专科</v>
      </c>
      <c r="I1001" s="7" t="str">
        <f t="shared" si="396"/>
        <v>幼儿园教师资格</v>
      </c>
    </row>
    <row r="1002" customHeight="1" spans="1:9">
      <c r="A1002" s="6">
        <v>1000</v>
      </c>
      <c r="B1002" s="7" t="s">
        <v>10</v>
      </c>
      <c r="C1002" s="8" t="str">
        <f>"黄国丹"</f>
        <v>黄国丹</v>
      </c>
      <c r="D1002" s="8" t="str">
        <f t="shared" si="408"/>
        <v>女</v>
      </c>
      <c r="E1002" s="7" t="str">
        <f>"460031199404076468"</f>
        <v>460031199404076468</v>
      </c>
      <c r="F1002" s="7" t="str">
        <f>"海南热带海洋学院"</f>
        <v>海南热带海洋学院</v>
      </c>
      <c r="G1002" s="7" t="str">
        <f t="shared" si="409"/>
        <v>学前教育</v>
      </c>
      <c r="H1002" s="7" t="str">
        <f t="shared" si="411"/>
        <v>专科</v>
      </c>
      <c r="I1002" s="7" t="str">
        <f t="shared" si="396"/>
        <v>幼儿园教师资格</v>
      </c>
    </row>
    <row r="1003" customHeight="1" spans="1:9">
      <c r="A1003" s="6">
        <v>1001</v>
      </c>
      <c r="B1003" s="7" t="s">
        <v>11</v>
      </c>
      <c r="C1003" s="8" t="str">
        <f>"陈海萍"</f>
        <v>陈海萍</v>
      </c>
      <c r="D1003" s="8" t="str">
        <f t="shared" si="408"/>
        <v>女</v>
      </c>
      <c r="E1003" s="7" t="str">
        <f>"460036199309280446"</f>
        <v>460036199309280446</v>
      </c>
      <c r="F1003" s="7" t="str">
        <f t="shared" si="410"/>
        <v>琼台师范学院</v>
      </c>
      <c r="G1003" s="7" t="str">
        <f t="shared" si="409"/>
        <v>学前教育</v>
      </c>
      <c r="H1003" s="7" t="str">
        <f t="shared" si="411"/>
        <v>专科</v>
      </c>
      <c r="I1003" s="7" t="str">
        <f t="shared" si="396"/>
        <v>幼儿园教师资格</v>
      </c>
    </row>
    <row r="1004" customHeight="1" spans="1:9">
      <c r="A1004" s="6">
        <v>1002</v>
      </c>
      <c r="B1004" s="7" t="s">
        <v>10</v>
      </c>
      <c r="C1004" s="8" t="str">
        <f>"陈琼敏"</f>
        <v>陈琼敏</v>
      </c>
      <c r="D1004" s="8" t="str">
        <f t="shared" si="408"/>
        <v>女</v>
      </c>
      <c r="E1004" s="7" t="str">
        <f>"460032199207207648"</f>
        <v>460032199207207648</v>
      </c>
      <c r="F1004" s="7" t="str">
        <f>"吉林省吉林师范大学博达学院"</f>
        <v>吉林省吉林师范大学博达学院</v>
      </c>
      <c r="G1004" s="7" t="str">
        <f t="shared" si="409"/>
        <v>学前教育</v>
      </c>
      <c r="H1004" s="7" t="str">
        <f>"本科"</f>
        <v>本科</v>
      </c>
      <c r="I1004" s="7" t="str">
        <f t="shared" si="396"/>
        <v>幼儿园教师资格</v>
      </c>
    </row>
    <row r="1005" customHeight="1" spans="1:9">
      <c r="A1005" s="6">
        <v>1003</v>
      </c>
      <c r="B1005" s="7" t="s">
        <v>10</v>
      </c>
      <c r="C1005" s="8" t="str">
        <f>"黄雅幸"</f>
        <v>黄雅幸</v>
      </c>
      <c r="D1005" s="8" t="str">
        <f t="shared" si="408"/>
        <v>女</v>
      </c>
      <c r="E1005" s="7" t="str">
        <f>"460027199709108526"</f>
        <v>460027199709108526</v>
      </c>
      <c r="F1005" s="7" t="str">
        <f t="shared" si="410"/>
        <v>琼台师范学院</v>
      </c>
      <c r="G1005" s="7" t="str">
        <f t="shared" si="409"/>
        <v>学前教育</v>
      </c>
      <c r="H1005" s="7" t="str">
        <f t="shared" ref="H1005:H1013" si="412">"专科"</f>
        <v>专科</v>
      </c>
      <c r="I1005" s="7" t="str">
        <f t="shared" si="396"/>
        <v>幼儿园教师资格</v>
      </c>
    </row>
    <row r="1006" customHeight="1" spans="1:9">
      <c r="A1006" s="6">
        <v>1004</v>
      </c>
      <c r="B1006" s="7" t="s">
        <v>11</v>
      </c>
      <c r="C1006" s="8" t="str">
        <f>"符家彩"</f>
        <v>符家彩</v>
      </c>
      <c r="D1006" s="8" t="str">
        <f t="shared" si="408"/>
        <v>女</v>
      </c>
      <c r="E1006" s="7" t="str">
        <f>"460300199608020628"</f>
        <v>460300199608020628</v>
      </c>
      <c r="F1006" s="7" t="str">
        <f>"江西省萍乡市萍乡学院"</f>
        <v>江西省萍乡市萍乡学院</v>
      </c>
      <c r="G1006" s="7" t="str">
        <f>"学前教育（师范）"</f>
        <v>学前教育（师范）</v>
      </c>
      <c r="H1006" s="7" t="str">
        <f t="shared" si="412"/>
        <v>专科</v>
      </c>
      <c r="I1006" s="7" t="str">
        <f t="shared" si="396"/>
        <v>幼儿园教师资格</v>
      </c>
    </row>
    <row r="1007" customHeight="1" spans="1:9">
      <c r="A1007" s="6">
        <v>1005</v>
      </c>
      <c r="B1007" s="7" t="s">
        <v>10</v>
      </c>
      <c r="C1007" s="8" t="str">
        <f>"罗娜妹"</f>
        <v>罗娜妹</v>
      </c>
      <c r="D1007" s="8" t="str">
        <f t="shared" si="408"/>
        <v>女</v>
      </c>
      <c r="E1007" s="7" t="str">
        <f>"460028199406133261"</f>
        <v>460028199406133261</v>
      </c>
      <c r="F1007" s="7" t="str">
        <f t="shared" ref="F1007:F1012" si="413">"琼台师范学院"</f>
        <v>琼台师范学院</v>
      </c>
      <c r="G1007" s="7" t="str">
        <f>"学前教育(英语方向）"</f>
        <v>学前教育(英语方向）</v>
      </c>
      <c r="H1007" s="7" t="str">
        <f t="shared" si="412"/>
        <v>专科</v>
      </c>
      <c r="I1007" s="7" t="str">
        <f t="shared" si="396"/>
        <v>幼儿园教师资格</v>
      </c>
    </row>
    <row r="1008" customHeight="1" spans="1:9">
      <c r="A1008" s="6">
        <v>1006</v>
      </c>
      <c r="B1008" s="7" t="s">
        <v>10</v>
      </c>
      <c r="C1008" s="8" t="str">
        <f>"吴萍"</f>
        <v>吴萍</v>
      </c>
      <c r="D1008" s="8" t="str">
        <f t="shared" si="408"/>
        <v>女</v>
      </c>
      <c r="E1008" s="7" t="str">
        <f>"460003199212213020"</f>
        <v>460003199212213020</v>
      </c>
      <c r="F1008" s="7" t="str">
        <f>"河北省衡水学院"</f>
        <v>河北省衡水学院</v>
      </c>
      <c r="G1008" s="7" t="str">
        <f t="shared" ref="G1008:G1011" si="414">"学前教育"</f>
        <v>学前教育</v>
      </c>
      <c r="H1008" s="7" t="str">
        <f t="shared" si="412"/>
        <v>专科</v>
      </c>
      <c r="I1008" s="7" t="str">
        <f t="shared" si="396"/>
        <v>幼儿园教师资格</v>
      </c>
    </row>
    <row r="1009" customHeight="1" spans="1:9">
      <c r="A1009" s="6">
        <v>1007</v>
      </c>
      <c r="B1009" s="7" t="s">
        <v>11</v>
      </c>
      <c r="C1009" s="8" t="str">
        <f>"李士香"</f>
        <v>李士香</v>
      </c>
      <c r="D1009" s="8" t="str">
        <f t="shared" si="408"/>
        <v>女</v>
      </c>
      <c r="E1009" s="7" t="str">
        <f>"460003199506077626"</f>
        <v>460003199506077626</v>
      </c>
      <c r="F1009" s="7" t="str">
        <f>"海南热带海洋学院"</f>
        <v>海南热带海洋学院</v>
      </c>
      <c r="G1009" s="7" t="str">
        <f t="shared" si="414"/>
        <v>学前教育</v>
      </c>
      <c r="H1009" s="7" t="str">
        <f t="shared" si="412"/>
        <v>专科</v>
      </c>
      <c r="I1009" s="7" t="str">
        <f t="shared" si="396"/>
        <v>幼儿园教师资格</v>
      </c>
    </row>
    <row r="1010" customHeight="1" spans="1:9">
      <c r="A1010" s="6">
        <v>1008</v>
      </c>
      <c r="B1010" s="7" t="s">
        <v>12</v>
      </c>
      <c r="C1010" s="8" t="str">
        <f>"蔡亚会"</f>
        <v>蔡亚会</v>
      </c>
      <c r="D1010" s="8" t="str">
        <f t="shared" si="408"/>
        <v>女</v>
      </c>
      <c r="E1010" s="7" t="str">
        <f>"460006199609232720"</f>
        <v>460006199609232720</v>
      </c>
      <c r="F1010" s="7" t="str">
        <f t="shared" si="413"/>
        <v>琼台师范学院</v>
      </c>
      <c r="G1010" s="7" t="str">
        <f t="shared" si="414"/>
        <v>学前教育</v>
      </c>
      <c r="H1010" s="7" t="str">
        <f t="shared" si="412"/>
        <v>专科</v>
      </c>
      <c r="I1010" s="7" t="str">
        <f t="shared" si="396"/>
        <v>幼儿园教师资格</v>
      </c>
    </row>
    <row r="1011" customHeight="1" spans="1:9">
      <c r="A1011" s="6">
        <v>1009</v>
      </c>
      <c r="B1011" s="7" t="s">
        <v>10</v>
      </c>
      <c r="C1011" s="8" t="str">
        <f>"李引淑"</f>
        <v>李引淑</v>
      </c>
      <c r="D1011" s="8" t="str">
        <f t="shared" si="408"/>
        <v>女</v>
      </c>
      <c r="E1011" s="7" t="str">
        <f>"460003199306192021"</f>
        <v>460003199306192021</v>
      </c>
      <c r="F1011" s="7" t="str">
        <f>"江西省景德镇学院"</f>
        <v>江西省景德镇学院</v>
      </c>
      <c r="G1011" s="7" t="str">
        <f t="shared" si="414"/>
        <v>学前教育</v>
      </c>
      <c r="H1011" s="7" t="str">
        <f t="shared" si="412"/>
        <v>专科</v>
      </c>
      <c r="I1011" s="7" t="str">
        <f t="shared" si="396"/>
        <v>幼儿园教师资格</v>
      </c>
    </row>
    <row r="1012" customHeight="1" spans="1:9">
      <c r="A1012" s="6">
        <v>1010</v>
      </c>
      <c r="B1012" s="7" t="s">
        <v>11</v>
      </c>
      <c r="C1012" s="8" t="str">
        <f>"李姑英"</f>
        <v>李姑英</v>
      </c>
      <c r="D1012" s="8" t="str">
        <f t="shared" si="408"/>
        <v>女</v>
      </c>
      <c r="E1012" s="7" t="str">
        <f>"460003199207143064"</f>
        <v>460003199207143064</v>
      </c>
      <c r="F1012" s="7" t="str">
        <f t="shared" si="413"/>
        <v>琼台师范学院</v>
      </c>
      <c r="G1012" s="7" t="str">
        <f>"学前教育(英语）"</f>
        <v>学前教育(英语）</v>
      </c>
      <c r="H1012" s="7" t="str">
        <f t="shared" si="412"/>
        <v>专科</v>
      </c>
      <c r="I1012" s="7" t="str">
        <f t="shared" si="396"/>
        <v>幼儿园教师资格</v>
      </c>
    </row>
    <row r="1013" customHeight="1" spans="1:9">
      <c r="A1013" s="6">
        <v>1011</v>
      </c>
      <c r="B1013" s="7" t="s">
        <v>10</v>
      </c>
      <c r="C1013" s="8" t="str">
        <f>"符小娟"</f>
        <v>符小娟</v>
      </c>
      <c r="D1013" s="8" t="str">
        <f t="shared" si="408"/>
        <v>女</v>
      </c>
      <c r="E1013" s="7" t="str">
        <f>"460003199111071422"</f>
        <v>460003199111071422</v>
      </c>
      <c r="F1013" s="7" t="str">
        <f>"琼州学院"</f>
        <v>琼州学院</v>
      </c>
      <c r="G1013" s="7" t="str">
        <f t="shared" ref="G1013:G1016" si="415">"学前教育"</f>
        <v>学前教育</v>
      </c>
      <c r="H1013" s="7" t="str">
        <f t="shared" si="412"/>
        <v>专科</v>
      </c>
      <c r="I1013" s="7" t="str">
        <f t="shared" si="396"/>
        <v>幼儿园教师资格</v>
      </c>
    </row>
    <row r="1014" customHeight="1" spans="1:9">
      <c r="A1014" s="6">
        <v>1012</v>
      </c>
      <c r="B1014" s="7" t="s">
        <v>11</v>
      </c>
      <c r="C1014" s="8" t="str">
        <f>"韩启玲"</f>
        <v>韩启玲</v>
      </c>
      <c r="D1014" s="8" t="str">
        <f t="shared" si="408"/>
        <v>女</v>
      </c>
      <c r="E1014" s="7" t="str">
        <f>"469003199512122225"</f>
        <v>469003199512122225</v>
      </c>
      <c r="F1014" s="7" t="str">
        <f>"九江职业大学"</f>
        <v>九江职业大学</v>
      </c>
      <c r="G1014" s="7" t="str">
        <f>"学前教育专业"</f>
        <v>学前教育专业</v>
      </c>
      <c r="H1014" s="7" t="str">
        <f>"专科(高职)"</f>
        <v>专科(高职)</v>
      </c>
      <c r="I1014" s="7" t="str">
        <f t="shared" si="396"/>
        <v>幼儿园教师资格</v>
      </c>
    </row>
    <row r="1015" customHeight="1" spans="1:9">
      <c r="A1015" s="6">
        <v>1013</v>
      </c>
      <c r="B1015" s="7" t="s">
        <v>10</v>
      </c>
      <c r="C1015" s="8" t="str">
        <f>"苻梦瑶"</f>
        <v>苻梦瑶</v>
      </c>
      <c r="D1015" s="8" t="str">
        <f t="shared" si="408"/>
        <v>女</v>
      </c>
      <c r="E1015" s="7" t="str">
        <f>"460200199312113627"</f>
        <v>460200199312113627</v>
      </c>
      <c r="F1015" s="7" t="str">
        <f>"湖南师范大学"</f>
        <v>湖南师范大学</v>
      </c>
      <c r="G1015" s="7" t="str">
        <f t="shared" si="415"/>
        <v>学前教育</v>
      </c>
      <c r="H1015" s="7" t="str">
        <f t="shared" ref="H1015:H1030" si="416">"专科"</f>
        <v>专科</v>
      </c>
      <c r="I1015" s="7" t="str">
        <f t="shared" si="396"/>
        <v>幼儿园教师资格</v>
      </c>
    </row>
    <row r="1016" customHeight="1" spans="1:9">
      <c r="A1016" s="6">
        <v>1014</v>
      </c>
      <c r="B1016" s="7" t="s">
        <v>12</v>
      </c>
      <c r="C1016" s="8" t="str">
        <f>"盘海霞"</f>
        <v>盘海霞</v>
      </c>
      <c r="D1016" s="8" t="str">
        <f t="shared" si="408"/>
        <v>女</v>
      </c>
      <c r="E1016" s="7" t="str">
        <f>"450324199602105523"</f>
        <v>450324199602105523</v>
      </c>
      <c r="F1016" s="7" t="str">
        <f t="shared" ref="F1016:F1018" si="417">"琼台师范学院"</f>
        <v>琼台师范学院</v>
      </c>
      <c r="G1016" s="7" t="str">
        <f t="shared" si="415"/>
        <v>学前教育</v>
      </c>
      <c r="H1016" s="7" t="str">
        <f t="shared" si="416"/>
        <v>专科</v>
      </c>
      <c r="I1016" s="7" t="str">
        <f t="shared" si="396"/>
        <v>幼儿园教师资格</v>
      </c>
    </row>
    <row r="1017" customHeight="1" spans="1:9">
      <c r="A1017" s="6">
        <v>1015</v>
      </c>
      <c r="B1017" s="7" t="s">
        <v>12</v>
      </c>
      <c r="C1017" s="8" t="str">
        <f>"陈思雨"</f>
        <v>陈思雨</v>
      </c>
      <c r="D1017" s="8" t="str">
        <f t="shared" si="408"/>
        <v>女</v>
      </c>
      <c r="E1017" s="7" t="str">
        <f>"460028199507170846"</f>
        <v>460028199507170846</v>
      </c>
      <c r="F1017" s="7" t="str">
        <f t="shared" si="417"/>
        <v>琼台师范学院</v>
      </c>
      <c r="G1017" s="7" t="str">
        <f t="shared" ref="G1017:G1026" si="418">"学前教育"</f>
        <v>学前教育</v>
      </c>
      <c r="H1017" s="7" t="str">
        <f t="shared" si="416"/>
        <v>专科</v>
      </c>
      <c r="I1017" s="7" t="str">
        <f t="shared" si="396"/>
        <v>幼儿园教师资格</v>
      </c>
    </row>
    <row r="1018" customHeight="1" spans="1:9">
      <c r="A1018" s="6">
        <v>1016</v>
      </c>
      <c r="B1018" s="7" t="s">
        <v>11</v>
      </c>
      <c r="C1018" s="8" t="str">
        <f>"杨书宇"</f>
        <v>杨书宇</v>
      </c>
      <c r="D1018" s="8" t="str">
        <f t="shared" si="408"/>
        <v>女</v>
      </c>
      <c r="E1018" s="7" t="str">
        <f>"460007199611052282"</f>
        <v>460007199611052282</v>
      </c>
      <c r="F1018" s="7" t="str">
        <f t="shared" si="417"/>
        <v>琼台师范学院</v>
      </c>
      <c r="G1018" s="7" t="str">
        <f t="shared" si="418"/>
        <v>学前教育</v>
      </c>
      <c r="H1018" s="7" t="str">
        <f t="shared" si="416"/>
        <v>专科</v>
      </c>
      <c r="I1018" s="7" t="str">
        <f t="shared" si="396"/>
        <v>幼儿园教师资格</v>
      </c>
    </row>
    <row r="1019" customHeight="1" spans="1:9">
      <c r="A1019" s="6">
        <v>1017</v>
      </c>
      <c r="B1019" s="7" t="s">
        <v>12</v>
      </c>
      <c r="C1019" s="8" t="str">
        <f>"盛天赐"</f>
        <v>盛天赐</v>
      </c>
      <c r="D1019" s="8" t="str">
        <f t="shared" si="408"/>
        <v>女</v>
      </c>
      <c r="E1019" s="7" t="str">
        <f>"230105199704043721"</f>
        <v>230105199704043721</v>
      </c>
      <c r="F1019" s="7" t="str">
        <f>"哈尔滨剑桥学院"</f>
        <v>哈尔滨剑桥学院</v>
      </c>
      <c r="G1019" s="7" t="str">
        <f>"学前教育专业"</f>
        <v>学前教育专业</v>
      </c>
      <c r="H1019" s="7" t="str">
        <f t="shared" si="416"/>
        <v>专科</v>
      </c>
      <c r="I1019" s="7" t="str">
        <f t="shared" si="396"/>
        <v>幼儿园教师资格</v>
      </c>
    </row>
    <row r="1020" customHeight="1" spans="1:9">
      <c r="A1020" s="6">
        <v>1018</v>
      </c>
      <c r="B1020" s="7" t="s">
        <v>11</v>
      </c>
      <c r="C1020" s="8" t="str">
        <f>"苏桂连"</f>
        <v>苏桂连</v>
      </c>
      <c r="D1020" s="8" t="str">
        <f t="shared" si="408"/>
        <v>女</v>
      </c>
      <c r="E1020" s="7" t="str">
        <f>"460003199108317428"</f>
        <v>460003199108317428</v>
      </c>
      <c r="F1020" s="7" t="str">
        <f>"琼台师范高等专科学校"</f>
        <v>琼台师范高等专科学校</v>
      </c>
      <c r="G1020" s="7" t="str">
        <f>"学前教育（英语方向）"</f>
        <v>学前教育（英语方向）</v>
      </c>
      <c r="H1020" s="7" t="str">
        <f t="shared" si="416"/>
        <v>专科</v>
      </c>
      <c r="I1020" s="7" t="str">
        <f t="shared" si="396"/>
        <v>幼儿园教师资格</v>
      </c>
    </row>
    <row r="1021" customHeight="1" spans="1:9">
      <c r="A1021" s="6">
        <v>1019</v>
      </c>
      <c r="B1021" s="7" t="s">
        <v>12</v>
      </c>
      <c r="C1021" s="8" t="str">
        <f>"钟虹"</f>
        <v>钟虹</v>
      </c>
      <c r="D1021" s="8" t="str">
        <f t="shared" si="408"/>
        <v>女</v>
      </c>
      <c r="E1021" s="7" t="str">
        <f>"460006199208152025"</f>
        <v>460006199208152025</v>
      </c>
      <c r="F1021" s="7" t="str">
        <f t="shared" ref="F1021:F1024" si="419">"琼台师范学院"</f>
        <v>琼台师范学院</v>
      </c>
      <c r="G1021" s="7" t="str">
        <f t="shared" si="418"/>
        <v>学前教育</v>
      </c>
      <c r="H1021" s="7" t="str">
        <f t="shared" si="416"/>
        <v>专科</v>
      </c>
      <c r="I1021" s="7" t="str">
        <f t="shared" si="396"/>
        <v>幼儿园教师资格</v>
      </c>
    </row>
    <row r="1022" customHeight="1" spans="1:9">
      <c r="A1022" s="6">
        <v>1020</v>
      </c>
      <c r="B1022" s="7" t="s">
        <v>10</v>
      </c>
      <c r="C1022" s="8" t="str">
        <f>"卢武芸"</f>
        <v>卢武芸</v>
      </c>
      <c r="D1022" s="8" t="str">
        <f t="shared" si="408"/>
        <v>女</v>
      </c>
      <c r="E1022" s="7" t="str">
        <f>"460033199511174867"</f>
        <v>460033199511174867</v>
      </c>
      <c r="F1022" s="7" t="str">
        <f>"梧州学院"</f>
        <v>梧州学院</v>
      </c>
      <c r="G1022" s="7" t="str">
        <f t="shared" si="418"/>
        <v>学前教育</v>
      </c>
      <c r="H1022" s="7" t="str">
        <f t="shared" si="416"/>
        <v>专科</v>
      </c>
      <c r="I1022" s="7" t="str">
        <f t="shared" si="396"/>
        <v>幼儿园教师资格</v>
      </c>
    </row>
    <row r="1023" customHeight="1" spans="1:9">
      <c r="A1023" s="6">
        <v>1021</v>
      </c>
      <c r="B1023" s="7" t="s">
        <v>10</v>
      </c>
      <c r="C1023" s="8" t="str">
        <f>"张惠景"</f>
        <v>张惠景</v>
      </c>
      <c r="D1023" s="8" t="str">
        <f t="shared" si="408"/>
        <v>女</v>
      </c>
      <c r="E1023" s="7" t="str">
        <f>"460001199604110722"</f>
        <v>460001199604110722</v>
      </c>
      <c r="F1023" s="7" t="str">
        <f t="shared" si="419"/>
        <v>琼台师范学院</v>
      </c>
      <c r="G1023" s="7" t="str">
        <f t="shared" si="418"/>
        <v>学前教育</v>
      </c>
      <c r="H1023" s="7" t="str">
        <f t="shared" si="416"/>
        <v>专科</v>
      </c>
      <c r="I1023" s="7" t="str">
        <f t="shared" si="396"/>
        <v>幼儿园教师资格</v>
      </c>
    </row>
    <row r="1024" customHeight="1" spans="1:9">
      <c r="A1024" s="6">
        <v>1022</v>
      </c>
      <c r="B1024" s="7" t="s">
        <v>10</v>
      </c>
      <c r="C1024" s="8" t="str">
        <f>"王瑞菊"</f>
        <v>王瑞菊</v>
      </c>
      <c r="D1024" s="8" t="str">
        <f t="shared" si="408"/>
        <v>女</v>
      </c>
      <c r="E1024" s="7" t="str">
        <f>"460007199809087624"</f>
        <v>460007199809087624</v>
      </c>
      <c r="F1024" s="7" t="str">
        <f t="shared" si="419"/>
        <v>琼台师范学院</v>
      </c>
      <c r="G1024" s="7" t="str">
        <f t="shared" si="418"/>
        <v>学前教育</v>
      </c>
      <c r="H1024" s="7" t="str">
        <f t="shared" si="416"/>
        <v>专科</v>
      </c>
      <c r="I1024" s="7" t="str">
        <f t="shared" si="396"/>
        <v>幼儿园教师资格</v>
      </c>
    </row>
    <row r="1025" customHeight="1" spans="1:9">
      <c r="A1025" s="6">
        <v>1023</v>
      </c>
      <c r="B1025" s="7" t="s">
        <v>11</v>
      </c>
      <c r="C1025" s="8" t="str">
        <f>"符光梅"</f>
        <v>符光梅</v>
      </c>
      <c r="D1025" s="8" t="str">
        <f t="shared" si="408"/>
        <v>女</v>
      </c>
      <c r="E1025" s="7" t="str">
        <f>"460007199102265765"</f>
        <v>460007199102265765</v>
      </c>
      <c r="F1025" s="7" t="str">
        <f>"琼台师范高等专科学校"</f>
        <v>琼台师范高等专科学校</v>
      </c>
      <c r="G1025" s="7" t="str">
        <f t="shared" si="418"/>
        <v>学前教育</v>
      </c>
      <c r="H1025" s="7" t="str">
        <f t="shared" si="416"/>
        <v>专科</v>
      </c>
      <c r="I1025" s="7" t="str">
        <f t="shared" ref="I1025:I1088" si="420">"幼儿园教师资格"</f>
        <v>幼儿园教师资格</v>
      </c>
    </row>
    <row r="1026" customHeight="1" spans="1:9">
      <c r="A1026" s="6">
        <v>1024</v>
      </c>
      <c r="B1026" s="7" t="s">
        <v>10</v>
      </c>
      <c r="C1026" s="8" t="str">
        <f>"文宠艳"</f>
        <v>文宠艳</v>
      </c>
      <c r="D1026" s="8" t="str">
        <f t="shared" si="408"/>
        <v>女</v>
      </c>
      <c r="E1026" s="7" t="str">
        <f>"46000619970629232X"</f>
        <v>46000619970629232X</v>
      </c>
      <c r="F1026" s="7" t="str">
        <f>"海南热带海洋学院"</f>
        <v>海南热带海洋学院</v>
      </c>
      <c r="G1026" s="7" t="str">
        <f t="shared" si="418"/>
        <v>学前教育</v>
      </c>
      <c r="H1026" s="7" t="str">
        <f t="shared" si="416"/>
        <v>专科</v>
      </c>
      <c r="I1026" s="7" t="str">
        <f t="shared" si="420"/>
        <v>幼儿园教师资格</v>
      </c>
    </row>
    <row r="1027" customHeight="1" spans="1:9">
      <c r="A1027" s="6">
        <v>1025</v>
      </c>
      <c r="B1027" s="7" t="s">
        <v>10</v>
      </c>
      <c r="C1027" s="8" t="str">
        <f>"何美君"</f>
        <v>何美君</v>
      </c>
      <c r="D1027" s="8" t="str">
        <f t="shared" si="408"/>
        <v>女</v>
      </c>
      <c r="E1027" s="7" t="str">
        <f>"460003199607131628"</f>
        <v>460003199607131628</v>
      </c>
      <c r="F1027" s="7" t="str">
        <f>"海南热带海洋学院"</f>
        <v>海南热带海洋学院</v>
      </c>
      <c r="G1027" s="7" t="str">
        <f>"学前教育（音乐舞蹈方向）"</f>
        <v>学前教育（音乐舞蹈方向）</v>
      </c>
      <c r="H1027" s="7" t="str">
        <f t="shared" si="416"/>
        <v>专科</v>
      </c>
      <c r="I1027" s="7" t="str">
        <f t="shared" si="420"/>
        <v>幼儿园教师资格</v>
      </c>
    </row>
    <row r="1028" customHeight="1" spans="1:9">
      <c r="A1028" s="6">
        <v>1026</v>
      </c>
      <c r="B1028" s="7" t="s">
        <v>11</v>
      </c>
      <c r="C1028" s="8" t="str">
        <f>"李雪萍"</f>
        <v>李雪萍</v>
      </c>
      <c r="D1028" s="8" t="str">
        <f t="shared" si="408"/>
        <v>女</v>
      </c>
      <c r="E1028" s="7" t="str">
        <f>"46000319970823022X"</f>
        <v>46000319970823022X</v>
      </c>
      <c r="F1028" s="7" t="str">
        <f t="shared" ref="F1028:F1030" si="421">"琼台师范学院"</f>
        <v>琼台师范学院</v>
      </c>
      <c r="G1028" s="7" t="str">
        <f t="shared" ref="G1028:G1038" si="422">"学前教育"</f>
        <v>学前教育</v>
      </c>
      <c r="H1028" s="7" t="str">
        <f t="shared" si="416"/>
        <v>专科</v>
      </c>
      <c r="I1028" s="7" t="str">
        <f t="shared" si="420"/>
        <v>幼儿园教师资格</v>
      </c>
    </row>
    <row r="1029" customHeight="1" spans="1:9">
      <c r="A1029" s="6">
        <v>1027</v>
      </c>
      <c r="B1029" s="7" t="s">
        <v>10</v>
      </c>
      <c r="C1029" s="8" t="str">
        <f>"黄苗"</f>
        <v>黄苗</v>
      </c>
      <c r="D1029" s="8" t="str">
        <f t="shared" si="408"/>
        <v>女</v>
      </c>
      <c r="E1029" s="7" t="str">
        <f>"46003319980104004X"</f>
        <v>46003319980104004X</v>
      </c>
      <c r="F1029" s="7" t="str">
        <f t="shared" si="421"/>
        <v>琼台师范学院</v>
      </c>
      <c r="G1029" s="7" t="str">
        <f t="shared" si="422"/>
        <v>学前教育</v>
      </c>
      <c r="H1029" s="7" t="str">
        <f t="shared" si="416"/>
        <v>专科</v>
      </c>
      <c r="I1029" s="7" t="str">
        <f t="shared" si="420"/>
        <v>幼儿园教师资格</v>
      </c>
    </row>
    <row r="1030" customHeight="1" spans="1:9">
      <c r="A1030" s="6">
        <v>1028</v>
      </c>
      <c r="B1030" s="7" t="s">
        <v>10</v>
      </c>
      <c r="C1030" s="8" t="str">
        <f>"何善熊"</f>
        <v>何善熊</v>
      </c>
      <c r="D1030" s="8" t="str">
        <f t="shared" si="408"/>
        <v>女</v>
      </c>
      <c r="E1030" s="7" t="str">
        <f>"460003199611132228"</f>
        <v>460003199611132228</v>
      </c>
      <c r="F1030" s="7" t="str">
        <f t="shared" si="421"/>
        <v>琼台师范学院</v>
      </c>
      <c r="G1030" s="7" t="str">
        <f t="shared" si="422"/>
        <v>学前教育</v>
      </c>
      <c r="H1030" s="7" t="str">
        <f t="shared" si="416"/>
        <v>专科</v>
      </c>
      <c r="I1030" s="7" t="str">
        <f t="shared" si="420"/>
        <v>幼儿园教师资格</v>
      </c>
    </row>
    <row r="1031" customHeight="1" spans="1:9">
      <c r="A1031" s="6">
        <v>1029</v>
      </c>
      <c r="B1031" s="7" t="s">
        <v>10</v>
      </c>
      <c r="C1031" s="8" t="str">
        <f>"张海妮"</f>
        <v>张海妮</v>
      </c>
      <c r="D1031" s="8" t="str">
        <f t="shared" si="408"/>
        <v>女</v>
      </c>
      <c r="E1031" s="7" t="str">
        <f>"460003199602230248"</f>
        <v>460003199602230248</v>
      </c>
      <c r="F1031" s="7" t="str">
        <f>"忻州师范学院"</f>
        <v>忻州师范学院</v>
      </c>
      <c r="G1031" s="7" t="str">
        <f t="shared" si="422"/>
        <v>学前教育</v>
      </c>
      <c r="H1031" s="7" t="str">
        <f>"本科"</f>
        <v>本科</v>
      </c>
      <c r="I1031" s="7" t="str">
        <f t="shared" si="420"/>
        <v>幼儿园教师资格</v>
      </c>
    </row>
    <row r="1032" customHeight="1" spans="1:9">
      <c r="A1032" s="6">
        <v>1030</v>
      </c>
      <c r="B1032" s="7" t="s">
        <v>10</v>
      </c>
      <c r="C1032" s="8" t="str">
        <f>"陈雪萍"</f>
        <v>陈雪萍</v>
      </c>
      <c r="D1032" s="8" t="str">
        <f t="shared" si="408"/>
        <v>女</v>
      </c>
      <c r="E1032" s="7" t="str">
        <f>"460022199802160028"</f>
        <v>460022199802160028</v>
      </c>
      <c r="F1032" s="7" t="str">
        <f>"琼台师范学院"</f>
        <v>琼台师范学院</v>
      </c>
      <c r="G1032" s="7" t="str">
        <f t="shared" si="422"/>
        <v>学前教育</v>
      </c>
      <c r="H1032" s="7" t="str">
        <f t="shared" ref="H1032:H1044" si="423">"专科"</f>
        <v>专科</v>
      </c>
      <c r="I1032" s="7" t="str">
        <f t="shared" si="420"/>
        <v>幼儿园教师资格</v>
      </c>
    </row>
    <row r="1033" customHeight="1" spans="1:9">
      <c r="A1033" s="6">
        <v>1031</v>
      </c>
      <c r="B1033" s="7" t="s">
        <v>11</v>
      </c>
      <c r="C1033" s="8" t="str">
        <f>"杨菁"</f>
        <v>杨菁</v>
      </c>
      <c r="D1033" s="8" t="str">
        <f t="shared" si="408"/>
        <v>女</v>
      </c>
      <c r="E1033" s="7" t="str">
        <f>"460004199307230823"</f>
        <v>460004199307230823</v>
      </c>
      <c r="F1033" s="7" t="str">
        <f>"海南热带海洋学院 "</f>
        <v>海南热带海洋学院 </v>
      </c>
      <c r="G1033" s="7" t="str">
        <f t="shared" si="422"/>
        <v>学前教育</v>
      </c>
      <c r="H1033" s="7" t="str">
        <f t="shared" si="423"/>
        <v>专科</v>
      </c>
      <c r="I1033" s="7" t="str">
        <f t="shared" si="420"/>
        <v>幼儿园教师资格</v>
      </c>
    </row>
    <row r="1034" customHeight="1" spans="1:9">
      <c r="A1034" s="6">
        <v>1032</v>
      </c>
      <c r="B1034" s="7" t="s">
        <v>10</v>
      </c>
      <c r="C1034" s="8" t="str">
        <f>"陈厚香"</f>
        <v>陈厚香</v>
      </c>
      <c r="D1034" s="8" t="str">
        <f t="shared" si="408"/>
        <v>女</v>
      </c>
      <c r="E1034" s="7" t="str">
        <f>"460003199211174023"</f>
        <v>460003199211174023</v>
      </c>
      <c r="F1034" s="7" t="str">
        <f>"安顺学院"</f>
        <v>安顺学院</v>
      </c>
      <c r="G1034" s="7" t="str">
        <f t="shared" si="422"/>
        <v>学前教育</v>
      </c>
      <c r="H1034" s="7" t="str">
        <f>"本科"</f>
        <v>本科</v>
      </c>
      <c r="I1034" s="7" t="str">
        <f t="shared" si="420"/>
        <v>幼儿园教师资格</v>
      </c>
    </row>
    <row r="1035" customHeight="1" spans="1:9">
      <c r="A1035" s="6">
        <v>1033</v>
      </c>
      <c r="B1035" s="7" t="s">
        <v>11</v>
      </c>
      <c r="C1035" s="8" t="str">
        <f>"王康雨"</f>
        <v>王康雨</v>
      </c>
      <c r="D1035" s="8" t="str">
        <f t="shared" si="408"/>
        <v>女</v>
      </c>
      <c r="E1035" s="7" t="str">
        <f>"460104199606170045"</f>
        <v>460104199606170045</v>
      </c>
      <c r="F1035" s="7" t="str">
        <f t="shared" ref="F1035:F1040" si="424">"琼台师范学院"</f>
        <v>琼台师范学院</v>
      </c>
      <c r="G1035" s="7" t="str">
        <f t="shared" si="422"/>
        <v>学前教育</v>
      </c>
      <c r="H1035" s="7" t="str">
        <f t="shared" si="423"/>
        <v>专科</v>
      </c>
      <c r="I1035" s="7" t="str">
        <f t="shared" si="420"/>
        <v>幼儿园教师资格</v>
      </c>
    </row>
    <row r="1036" customHeight="1" spans="1:9">
      <c r="A1036" s="6">
        <v>1034</v>
      </c>
      <c r="B1036" s="7" t="s">
        <v>11</v>
      </c>
      <c r="C1036" s="8" t="str">
        <f>"赖亚霞"</f>
        <v>赖亚霞</v>
      </c>
      <c r="D1036" s="8" t="str">
        <f t="shared" si="408"/>
        <v>女</v>
      </c>
      <c r="E1036" s="7" t="str">
        <f>"460007199303084661"</f>
        <v>460007199303084661</v>
      </c>
      <c r="F1036" s="7" t="str">
        <f>"海南省热带海洋学院"</f>
        <v>海南省热带海洋学院</v>
      </c>
      <c r="G1036" s="7" t="str">
        <f t="shared" si="422"/>
        <v>学前教育</v>
      </c>
      <c r="H1036" s="7" t="str">
        <f t="shared" si="423"/>
        <v>专科</v>
      </c>
      <c r="I1036" s="7" t="str">
        <f t="shared" si="420"/>
        <v>幼儿园教师资格</v>
      </c>
    </row>
    <row r="1037" customHeight="1" spans="1:9">
      <c r="A1037" s="6">
        <v>1035</v>
      </c>
      <c r="B1037" s="7" t="s">
        <v>10</v>
      </c>
      <c r="C1037" s="8" t="str">
        <f>"符菁玮"</f>
        <v>符菁玮</v>
      </c>
      <c r="D1037" s="8" t="str">
        <f t="shared" si="408"/>
        <v>女</v>
      </c>
      <c r="E1037" s="7" t="str">
        <f>"460007199105160029"</f>
        <v>460007199105160029</v>
      </c>
      <c r="F1037" s="7" t="str">
        <f>"琼台师范高等专科学校"</f>
        <v>琼台师范高等专科学校</v>
      </c>
      <c r="G1037" s="7" t="str">
        <f t="shared" si="422"/>
        <v>学前教育</v>
      </c>
      <c r="H1037" s="7" t="str">
        <f t="shared" si="423"/>
        <v>专科</v>
      </c>
      <c r="I1037" s="7" t="str">
        <f t="shared" si="420"/>
        <v>幼儿园教师资格</v>
      </c>
    </row>
    <row r="1038" customHeight="1" spans="1:9">
      <c r="A1038" s="6">
        <v>1036</v>
      </c>
      <c r="B1038" s="7" t="s">
        <v>11</v>
      </c>
      <c r="C1038" s="8" t="str">
        <f>"符静阳"</f>
        <v>符静阳</v>
      </c>
      <c r="D1038" s="8" t="str">
        <f t="shared" si="408"/>
        <v>女</v>
      </c>
      <c r="E1038" s="7" t="str">
        <f>"460027199802030022"</f>
        <v>460027199802030022</v>
      </c>
      <c r="F1038" s="7" t="str">
        <f t="shared" si="424"/>
        <v>琼台师范学院</v>
      </c>
      <c r="G1038" s="7" t="str">
        <f t="shared" si="422"/>
        <v>学前教育</v>
      </c>
      <c r="H1038" s="7" t="str">
        <f t="shared" si="423"/>
        <v>专科</v>
      </c>
      <c r="I1038" s="7" t="str">
        <f t="shared" si="420"/>
        <v>幼儿园教师资格</v>
      </c>
    </row>
    <row r="1039" customHeight="1" spans="1:9">
      <c r="A1039" s="6">
        <v>1037</v>
      </c>
      <c r="B1039" s="7" t="s">
        <v>12</v>
      </c>
      <c r="C1039" s="8" t="str">
        <f>"陈有桃"</f>
        <v>陈有桃</v>
      </c>
      <c r="D1039" s="8" t="str">
        <f t="shared" si="408"/>
        <v>女</v>
      </c>
      <c r="E1039" s="7" t="str">
        <f>"460003199208204447"</f>
        <v>460003199208204447</v>
      </c>
      <c r="F1039" s="7" t="str">
        <f t="shared" si="424"/>
        <v>琼台师范学院</v>
      </c>
      <c r="G1039" s="7" t="str">
        <f t="shared" ref="G1039:G1045" si="425">"学前教育专业"</f>
        <v>学前教育专业</v>
      </c>
      <c r="H1039" s="7" t="str">
        <f t="shared" si="423"/>
        <v>专科</v>
      </c>
      <c r="I1039" s="7" t="str">
        <f t="shared" si="420"/>
        <v>幼儿园教师资格</v>
      </c>
    </row>
    <row r="1040" customHeight="1" spans="1:9">
      <c r="A1040" s="6">
        <v>1038</v>
      </c>
      <c r="B1040" s="7" t="s">
        <v>10</v>
      </c>
      <c r="C1040" s="8" t="str">
        <f>"苏江小"</f>
        <v>苏江小</v>
      </c>
      <c r="D1040" s="8" t="str">
        <f t="shared" si="408"/>
        <v>女</v>
      </c>
      <c r="E1040" s="7" t="str">
        <f>"460031199602295629"</f>
        <v>460031199602295629</v>
      </c>
      <c r="F1040" s="7" t="str">
        <f t="shared" si="424"/>
        <v>琼台师范学院</v>
      </c>
      <c r="G1040" s="7" t="str">
        <f>"学前教育（英语教育方向）"</f>
        <v>学前教育（英语教育方向）</v>
      </c>
      <c r="H1040" s="7" t="str">
        <f t="shared" si="423"/>
        <v>专科</v>
      </c>
      <c r="I1040" s="7" t="str">
        <f t="shared" si="420"/>
        <v>幼儿园教师资格</v>
      </c>
    </row>
    <row r="1041" customHeight="1" spans="1:9">
      <c r="A1041" s="6">
        <v>1039</v>
      </c>
      <c r="B1041" s="7" t="s">
        <v>10</v>
      </c>
      <c r="C1041" s="8" t="str">
        <f>"李影"</f>
        <v>李影</v>
      </c>
      <c r="D1041" s="8" t="str">
        <f t="shared" si="408"/>
        <v>女</v>
      </c>
      <c r="E1041" s="7" t="str">
        <f>"450121199206016043"</f>
        <v>450121199206016043</v>
      </c>
      <c r="F1041" s="7" t="str">
        <f>"琼州学院"</f>
        <v>琼州学院</v>
      </c>
      <c r="G1041" s="7" t="str">
        <f t="shared" si="425"/>
        <v>学前教育专业</v>
      </c>
      <c r="H1041" s="7" t="str">
        <f t="shared" si="423"/>
        <v>专科</v>
      </c>
      <c r="I1041" s="7" t="str">
        <f t="shared" si="420"/>
        <v>幼儿园教师资格</v>
      </c>
    </row>
    <row r="1042" customHeight="1" spans="1:9">
      <c r="A1042" s="6">
        <v>1040</v>
      </c>
      <c r="B1042" s="7" t="s">
        <v>11</v>
      </c>
      <c r="C1042" s="8" t="str">
        <f>"苏运香"</f>
        <v>苏运香</v>
      </c>
      <c r="D1042" s="8" t="str">
        <f t="shared" si="408"/>
        <v>女</v>
      </c>
      <c r="E1042" s="7" t="str">
        <f>"460030199110205440"</f>
        <v>460030199110205440</v>
      </c>
      <c r="F1042" s="7" t="str">
        <f>"琼台师范高等专科学校"</f>
        <v>琼台师范高等专科学校</v>
      </c>
      <c r="G1042" s="7" t="str">
        <f t="shared" ref="G1042:G1059" si="426">"学前教育"</f>
        <v>学前教育</v>
      </c>
      <c r="H1042" s="7" t="str">
        <f t="shared" si="423"/>
        <v>专科</v>
      </c>
      <c r="I1042" s="7" t="str">
        <f t="shared" si="420"/>
        <v>幼儿园教师资格</v>
      </c>
    </row>
    <row r="1043" customHeight="1" spans="1:9">
      <c r="A1043" s="6">
        <v>1041</v>
      </c>
      <c r="B1043" s="7" t="s">
        <v>11</v>
      </c>
      <c r="C1043" s="8" t="str">
        <f>"蔡夹盈"</f>
        <v>蔡夹盈</v>
      </c>
      <c r="D1043" s="8" t="str">
        <f t="shared" si="408"/>
        <v>女</v>
      </c>
      <c r="E1043" s="7" t="str">
        <f>"46000219951113254X"</f>
        <v>46000219951113254X</v>
      </c>
      <c r="F1043" s="7" t="str">
        <f t="shared" ref="F1043:F1046" si="427">"琼台师范学院"</f>
        <v>琼台师范学院</v>
      </c>
      <c r="G1043" s="7" t="str">
        <f t="shared" si="426"/>
        <v>学前教育</v>
      </c>
      <c r="H1043" s="7" t="str">
        <f t="shared" si="423"/>
        <v>专科</v>
      </c>
      <c r="I1043" s="7" t="str">
        <f t="shared" si="420"/>
        <v>幼儿园教师资格</v>
      </c>
    </row>
    <row r="1044" customHeight="1" spans="1:9">
      <c r="A1044" s="6">
        <v>1042</v>
      </c>
      <c r="B1044" s="7" t="s">
        <v>10</v>
      </c>
      <c r="C1044" s="8" t="str">
        <f>"邢亚丽"</f>
        <v>邢亚丽</v>
      </c>
      <c r="D1044" s="8" t="str">
        <f t="shared" si="408"/>
        <v>女</v>
      </c>
      <c r="E1044" s="7" t="str">
        <f>"460033199711206608"</f>
        <v>460033199711206608</v>
      </c>
      <c r="F1044" s="7" t="str">
        <f t="shared" si="427"/>
        <v>琼台师范学院</v>
      </c>
      <c r="G1044" s="7" t="str">
        <f t="shared" si="425"/>
        <v>学前教育专业</v>
      </c>
      <c r="H1044" s="7" t="str">
        <f t="shared" si="423"/>
        <v>专科</v>
      </c>
      <c r="I1044" s="7" t="str">
        <f t="shared" si="420"/>
        <v>幼儿园教师资格</v>
      </c>
    </row>
    <row r="1045" customHeight="1" spans="1:9">
      <c r="A1045" s="6">
        <v>1043</v>
      </c>
      <c r="B1045" s="7" t="s">
        <v>11</v>
      </c>
      <c r="C1045" s="8" t="str">
        <f>"刘慧妹"</f>
        <v>刘慧妹</v>
      </c>
      <c r="D1045" s="8" t="str">
        <f t="shared" si="408"/>
        <v>女</v>
      </c>
      <c r="E1045" s="7" t="str">
        <f>"460200199209054745"</f>
        <v>460200199209054745</v>
      </c>
      <c r="F1045" s="7" t="str">
        <f>"琼台师范高等专科学校"</f>
        <v>琼台师范高等专科学校</v>
      </c>
      <c r="G1045" s="7" t="str">
        <f t="shared" si="425"/>
        <v>学前教育专业</v>
      </c>
      <c r="H1045" s="7" t="str">
        <f>"专科(高职)"</f>
        <v>专科(高职)</v>
      </c>
      <c r="I1045" s="7" t="str">
        <f t="shared" si="420"/>
        <v>幼儿园教师资格</v>
      </c>
    </row>
    <row r="1046" customHeight="1" spans="1:9">
      <c r="A1046" s="6">
        <v>1044</v>
      </c>
      <c r="B1046" s="7" t="s">
        <v>10</v>
      </c>
      <c r="C1046" s="8" t="str">
        <f>"邱康丽"</f>
        <v>邱康丽</v>
      </c>
      <c r="D1046" s="8" t="str">
        <f t="shared" si="408"/>
        <v>女</v>
      </c>
      <c r="E1046" s="7" t="str">
        <f>"469023199612062624"</f>
        <v>469023199612062624</v>
      </c>
      <c r="F1046" s="7" t="str">
        <f t="shared" si="427"/>
        <v>琼台师范学院</v>
      </c>
      <c r="G1046" s="7" t="str">
        <f t="shared" si="426"/>
        <v>学前教育</v>
      </c>
      <c r="H1046" s="7" t="str">
        <f t="shared" ref="H1046:H1052" si="428">"专科"</f>
        <v>专科</v>
      </c>
      <c r="I1046" s="7" t="str">
        <f t="shared" si="420"/>
        <v>幼儿园教师资格</v>
      </c>
    </row>
    <row r="1047" customHeight="1" spans="1:9">
      <c r="A1047" s="6">
        <v>1045</v>
      </c>
      <c r="B1047" s="7" t="s">
        <v>10</v>
      </c>
      <c r="C1047" s="8" t="str">
        <f>"符彩印"</f>
        <v>符彩印</v>
      </c>
      <c r="D1047" s="8" t="str">
        <f t="shared" si="408"/>
        <v>女</v>
      </c>
      <c r="E1047" s="7" t="str">
        <f>"460003199008124223"</f>
        <v>460003199008124223</v>
      </c>
      <c r="F1047" s="7" t="str">
        <f>"江西师范大学科学技术学院"</f>
        <v>江西师范大学科学技术学院</v>
      </c>
      <c r="G1047" s="7" t="str">
        <f t="shared" si="426"/>
        <v>学前教育</v>
      </c>
      <c r="H1047" s="7" t="str">
        <f>"本科"</f>
        <v>本科</v>
      </c>
      <c r="I1047" s="7" t="str">
        <f t="shared" si="420"/>
        <v>幼儿园教师资格</v>
      </c>
    </row>
    <row r="1048" customHeight="1" spans="1:9">
      <c r="A1048" s="6">
        <v>1046</v>
      </c>
      <c r="B1048" s="7" t="s">
        <v>11</v>
      </c>
      <c r="C1048" s="8" t="str">
        <f>"莫燕波"</f>
        <v>莫燕波</v>
      </c>
      <c r="D1048" s="8" t="str">
        <f t="shared" si="408"/>
        <v>女</v>
      </c>
      <c r="E1048" s="7" t="str">
        <f>"460025199312210327"</f>
        <v>460025199312210327</v>
      </c>
      <c r="F1048" s="7" t="str">
        <f>"海南师范大学"</f>
        <v>海南师范大学</v>
      </c>
      <c r="G1048" s="7" t="str">
        <f t="shared" si="426"/>
        <v>学前教育</v>
      </c>
      <c r="H1048" s="7" t="str">
        <f t="shared" si="428"/>
        <v>专科</v>
      </c>
      <c r="I1048" s="7" t="str">
        <f t="shared" si="420"/>
        <v>幼儿园教师资格</v>
      </c>
    </row>
    <row r="1049" customHeight="1" spans="1:9">
      <c r="A1049" s="6">
        <v>1047</v>
      </c>
      <c r="B1049" s="7" t="s">
        <v>12</v>
      </c>
      <c r="C1049" s="8" t="str">
        <f>"杨燕玲"</f>
        <v>杨燕玲</v>
      </c>
      <c r="D1049" s="8" t="str">
        <f t="shared" si="408"/>
        <v>女</v>
      </c>
      <c r="E1049" s="7" t="str">
        <f>"460028199310196022"</f>
        <v>460028199310196022</v>
      </c>
      <c r="F1049" s="7" t="str">
        <f>"琼州学院"</f>
        <v>琼州学院</v>
      </c>
      <c r="G1049" s="7" t="str">
        <f t="shared" si="426"/>
        <v>学前教育</v>
      </c>
      <c r="H1049" s="7" t="str">
        <f t="shared" si="428"/>
        <v>专科</v>
      </c>
      <c r="I1049" s="7" t="str">
        <f t="shared" si="420"/>
        <v>幼儿园教师资格</v>
      </c>
    </row>
    <row r="1050" customHeight="1" spans="1:9">
      <c r="A1050" s="6">
        <v>1048</v>
      </c>
      <c r="B1050" s="7" t="s">
        <v>11</v>
      </c>
      <c r="C1050" s="8" t="str">
        <f>"张金乾"</f>
        <v>张金乾</v>
      </c>
      <c r="D1050" s="8" t="str">
        <f t="shared" si="408"/>
        <v>女</v>
      </c>
      <c r="E1050" s="7" t="str">
        <f>"460003199706104625"</f>
        <v>460003199706104625</v>
      </c>
      <c r="F1050" s="7" t="str">
        <f>"琼台师范学院"</f>
        <v>琼台师范学院</v>
      </c>
      <c r="G1050" s="7" t="str">
        <f t="shared" si="426"/>
        <v>学前教育</v>
      </c>
      <c r="H1050" s="7" t="str">
        <f t="shared" si="428"/>
        <v>专科</v>
      </c>
      <c r="I1050" s="7" t="str">
        <f t="shared" si="420"/>
        <v>幼儿园教师资格</v>
      </c>
    </row>
    <row r="1051" customHeight="1" spans="1:9">
      <c r="A1051" s="6">
        <v>1049</v>
      </c>
      <c r="B1051" s="7" t="s">
        <v>10</v>
      </c>
      <c r="C1051" s="8" t="str">
        <f>"邱良玉"</f>
        <v>邱良玉</v>
      </c>
      <c r="D1051" s="8" t="str">
        <f t="shared" si="408"/>
        <v>女</v>
      </c>
      <c r="E1051" s="7" t="str">
        <f>"460006199504062729"</f>
        <v>460006199504062729</v>
      </c>
      <c r="F1051" s="7" t="str">
        <f>"琼台师范学院"</f>
        <v>琼台师范学院</v>
      </c>
      <c r="G1051" s="7" t="str">
        <f t="shared" si="426"/>
        <v>学前教育</v>
      </c>
      <c r="H1051" s="7" t="str">
        <f t="shared" si="428"/>
        <v>专科</v>
      </c>
      <c r="I1051" s="7" t="str">
        <f t="shared" si="420"/>
        <v>幼儿园教师资格</v>
      </c>
    </row>
    <row r="1052" customHeight="1" spans="1:9">
      <c r="A1052" s="6">
        <v>1050</v>
      </c>
      <c r="B1052" s="7" t="s">
        <v>10</v>
      </c>
      <c r="C1052" s="8" t="str">
        <f>"伍莹艳"</f>
        <v>伍莹艳</v>
      </c>
      <c r="D1052" s="8" t="str">
        <f t="shared" si="408"/>
        <v>女</v>
      </c>
      <c r="E1052" s="7" t="str">
        <f>"46010419980731122X"</f>
        <v>46010419980731122X</v>
      </c>
      <c r="F1052" s="7" t="str">
        <f>"鄂州职业大学"</f>
        <v>鄂州职业大学</v>
      </c>
      <c r="G1052" s="7" t="str">
        <f t="shared" si="426"/>
        <v>学前教育</v>
      </c>
      <c r="H1052" s="7" t="str">
        <f t="shared" si="428"/>
        <v>专科</v>
      </c>
      <c r="I1052" s="7" t="str">
        <f t="shared" si="420"/>
        <v>幼儿园教师资格</v>
      </c>
    </row>
    <row r="1053" customHeight="1" spans="1:9">
      <c r="A1053" s="6">
        <v>1051</v>
      </c>
      <c r="B1053" s="7" t="s">
        <v>11</v>
      </c>
      <c r="C1053" s="8" t="str">
        <f>"黄芳"</f>
        <v>黄芳</v>
      </c>
      <c r="D1053" s="8" t="str">
        <f t="shared" si="408"/>
        <v>女</v>
      </c>
      <c r="E1053" s="7" t="str">
        <f>"460003199612190227"</f>
        <v>460003199612190227</v>
      </c>
      <c r="F1053" s="7" t="str">
        <f>"赣南师范大学"</f>
        <v>赣南师范大学</v>
      </c>
      <c r="G1053" s="7" t="str">
        <f t="shared" si="426"/>
        <v>学前教育</v>
      </c>
      <c r="H1053" s="7" t="str">
        <f>"本科"</f>
        <v>本科</v>
      </c>
      <c r="I1053" s="7" t="str">
        <f t="shared" si="420"/>
        <v>幼儿园教师资格</v>
      </c>
    </row>
    <row r="1054" customHeight="1" spans="1:9">
      <c r="A1054" s="6">
        <v>1052</v>
      </c>
      <c r="B1054" s="7" t="s">
        <v>11</v>
      </c>
      <c r="C1054" s="8" t="str">
        <f>"吴广妹"</f>
        <v>吴广妹</v>
      </c>
      <c r="D1054" s="8" t="str">
        <f t="shared" si="408"/>
        <v>女</v>
      </c>
      <c r="E1054" s="7" t="str">
        <f>"460003199310246221"</f>
        <v>460003199310246221</v>
      </c>
      <c r="F1054" s="7" t="str">
        <f>"琼台师范高等专科学校"</f>
        <v>琼台师范高等专科学校</v>
      </c>
      <c r="G1054" s="7" t="str">
        <f t="shared" si="426"/>
        <v>学前教育</v>
      </c>
      <c r="H1054" s="7" t="str">
        <f t="shared" ref="H1054:H1058" si="429">"专科"</f>
        <v>专科</v>
      </c>
      <c r="I1054" s="7" t="str">
        <f t="shared" si="420"/>
        <v>幼儿园教师资格</v>
      </c>
    </row>
    <row r="1055" customHeight="1" spans="1:9">
      <c r="A1055" s="6">
        <v>1053</v>
      </c>
      <c r="B1055" s="7" t="s">
        <v>12</v>
      </c>
      <c r="C1055" s="8" t="str">
        <f>"唐芊"</f>
        <v>唐芊</v>
      </c>
      <c r="D1055" s="8" t="str">
        <f t="shared" si="408"/>
        <v>女</v>
      </c>
      <c r="E1055" s="7" t="str">
        <f>"460033199502124905"</f>
        <v>460033199502124905</v>
      </c>
      <c r="F1055" s="7" t="str">
        <f>"海南热带海洋学院"</f>
        <v>海南热带海洋学院</v>
      </c>
      <c r="G1055" s="7" t="str">
        <f t="shared" si="426"/>
        <v>学前教育</v>
      </c>
      <c r="H1055" s="7" t="str">
        <f t="shared" si="429"/>
        <v>专科</v>
      </c>
      <c r="I1055" s="7" t="str">
        <f t="shared" si="420"/>
        <v>幼儿园教师资格</v>
      </c>
    </row>
    <row r="1056" customHeight="1" spans="1:9">
      <c r="A1056" s="6">
        <v>1054</v>
      </c>
      <c r="B1056" s="7" t="s">
        <v>11</v>
      </c>
      <c r="C1056" s="8" t="str">
        <f>"陈来欢"</f>
        <v>陈来欢</v>
      </c>
      <c r="D1056" s="8" t="str">
        <f t="shared" si="408"/>
        <v>女</v>
      </c>
      <c r="E1056" s="7" t="str">
        <f>"460033199508193223"</f>
        <v>460033199508193223</v>
      </c>
      <c r="F1056" s="7" t="str">
        <f>"江西省萍乡学院"</f>
        <v>江西省萍乡学院</v>
      </c>
      <c r="G1056" s="7" t="str">
        <f t="shared" si="426"/>
        <v>学前教育</v>
      </c>
      <c r="H1056" s="7" t="str">
        <f t="shared" si="429"/>
        <v>专科</v>
      </c>
      <c r="I1056" s="7" t="str">
        <f t="shared" si="420"/>
        <v>幼儿园教师资格</v>
      </c>
    </row>
    <row r="1057" customHeight="1" spans="1:9">
      <c r="A1057" s="6">
        <v>1055</v>
      </c>
      <c r="B1057" s="7" t="s">
        <v>11</v>
      </c>
      <c r="C1057" s="8" t="str">
        <f>"李诺"</f>
        <v>李诺</v>
      </c>
      <c r="D1057" s="8" t="str">
        <f t="shared" si="408"/>
        <v>女</v>
      </c>
      <c r="E1057" s="7" t="str">
        <f>"460006199711201322"</f>
        <v>460006199711201322</v>
      </c>
      <c r="F1057" s="7" t="str">
        <f>"琼台师范学院"</f>
        <v>琼台师范学院</v>
      </c>
      <c r="G1057" s="7" t="str">
        <f t="shared" si="426"/>
        <v>学前教育</v>
      </c>
      <c r="H1057" s="7" t="str">
        <f t="shared" si="429"/>
        <v>专科</v>
      </c>
      <c r="I1057" s="7" t="str">
        <f t="shared" si="420"/>
        <v>幼儿园教师资格</v>
      </c>
    </row>
    <row r="1058" customHeight="1" spans="1:9">
      <c r="A1058" s="6">
        <v>1056</v>
      </c>
      <c r="B1058" s="7" t="s">
        <v>12</v>
      </c>
      <c r="C1058" s="8" t="str">
        <f>"胡珠燕"</f>
        <v>胡珠燕</v>
      </c>
      <c r="D1058" s="8" t="str">
        <f t="shared" si="408"/>
        <v>女</v>
      </c>
      <c r="E1058" s="7" t="str">
        <f>"460001199207102243"</f>
        <v>460001199207102243</v>
      </c>
      <c r="F1058" s="7" t="str">
        <f>"琼台师范学校"</f>
        <v>琼台师范学校</v>
      </c>
      <c r="G1058" s="7" t="str">
        <f t="shared" si="426"/>
        <v>学前教育</v>
      </c>
      <c r="H1058" s="7" t="str">
        <f t="shared" si="429"/>
        <v>专科</v>
      </c>
      <c r="I1058" s="7" t="str">
        <f t="shared" si="420"/>
        <v>幼儿园教师资格</v>
      </c>
    </row>
    <row r="1059" customHeight="1" spans="1:9">
      <c r="A1059" s="6">
        <v>1057</v>
      </c>
      <c r="B1059" s="7" t="s">
        <v>11</v>
      </c>
      <c r="C1059" s="8" t="str">
        <f>"陈菊玲"</f>
        <v>陈菊玲</v>
      </c>
      <c r="D1059" s="8" t="str">
        <f t="shared" si="408"/>
        <v>女</v>
      </c>
      <c r="E1059" s="7" t="str">
        <f>"469003199504105329"</f>
        <v>469003199504105329</v>
      </c>
      <c r="F1059" s="7" t="str">
        <f>"新乡学院"</f>
        <v>新乡学院</v>
      </c>
      <c r="G1059" s="7" t="str">
        <f t="shared" si="426"/>
        <v>学前教育</v>
      </c>
      <c r="H1059" s="7" t="str">
        <f t="shared" ref="H1059:H1062" si="430">"本科"</f>
        <v>本科</v>
      </c>
      <c r="I1059" s="7" t="str">
        <f t="shared" si="420"/>
        <v>幼儿园教师资格</v>
      </c>
    </row>
    <row r="1060" customHeight="1" spans="1:9">
      <c r="A1060" s="6">
        <v>1058</v>
      </c>
      <c r="B1060" s="7" t="s">
        <v>12</v>
      </c>
      <c r="C1060" s="8" t="str">
        <f>"郑壮妹"</f>
        <v>郑壮妹</v>
      </c>
      <c r="D1060" s="8" t="str">
        <f t="shared" si="408"/>
        <v>女</v>
      </c>
      <c r="E1060" s="7" t="str">
        <f>"46030019900916032X"</f>
        <v>46030019900916032X</v>
      </c>
      <c r="F1060" s="7" t="str">
        <f>"中华女子学院"</f>
        <v>中华女子学院</v>
      </c>
      <c r="G1060" s="7" t="str">
        <f>"学前教育专业"</f>
        <v>学前教育专业</v>
      </c>
      <c r="H1060" s="7" t="str">
        <f t="shared" si="430"/>
        <v>本科</v>
      </c>
      <c r="I1060" s="7" t="str">
        <f t="shared" si="420"/>
        <v>幼儿园教师资格</v>
      </c>
    </row>
    <row r="1061" customHeight="1" spans="1:9">
      <c r="A1061" s="6">
        <v>1059</v>
      </c>
      <c r="B1061" s="7" t="s">
        <v>10</v>
      </c>
      <c r="C1061" s="8" t="str">
        <f>"吴万波"</f>
        <v>吴万波</v>
      </c>
      <c r="D1061" s="8" t="str">
        <f t="shared" ref="D1061:D1092" si="431">"女"</f>
        <v>女</v>
      </c>
      <c r="E1061" s="7" t="str">
        <f>"460003199504280268"</f>
        <v>460003199504280268</v>
      </c>
      <c r="F1061" s="7" t="str">
        <f t="shared" ref="F1061:F1069" si="432">"琼台师范学院"</f>
        <v>琼台师范学院</v>
      </c>
      <c r="G1061" s="7" t="str">
        <f t="shared" ref="G1061:G1069" si="433">"学前教育"</f>
        <v>学前教育</v>
      </c>
      <c r="H1061" s="7" t="str">
        <f t="shared" ref="H1061:H1069" si="434">"专科"</f>
        <v>专科</v>
      </c>
      <c r="I1061" s="7" t="str">
        <f t="shared" si="420"/>
        <v>幼儿园教师资格</v>
      </c>
    </row>
    <row r="1062" customHeight="1" spans="1:9">
      <c r="A1062" s="6">
        <v>1060</v>
      </c>
      <c r="B1062" s="7" t="s">
        <v>11</v>
      </c>
      <c r="C1062" s="8" t="str">
        <f>"杜海波"</f>
        <v>杜海波</v>
      </c>
      <c r="D1062" s="8" t="str">
        <f t="shared" si="431"/>
        <v>女</v>
      </c>
      <c r="E1062" s="7" t="str">
        <f>"460004198908273621"</f>
        <v>460004198908273621</v>
      </c>
      <c r="F1062" s="7" t="str">
        <f>"海南师范大学"</f>
        <v>海南师范大学</v>
      </c>
      <c r="G1062" s="7" t="str">
        <f t="shared" si="433"/>
        <v>学前教育</v>
      </c>
      <c r="H1062" s="7" t="str">
        <f t="shared" si="430"/>
        <v>本科</v>
      </c>
      <c r="I1062" s="7" t="str">
        <f t="shared" si="420"/>
        <v>幼儿园教师资格</v>
      </c>
    </row>
    <row r="1063" customHeight="1" spans="1:9">
      <c r="A1063" s="6">
        <v>1061</v>
      </c>
      <c r="B1063" s="7" t="s">
        <v>12</v>
      </c>
      <c r="C1063" s="8" t="str">
        <f>"吕俊玲"</f>
        <v>吕俊玲</v>
      </c>
      <c r="D1063" s="8" t="str">
        <f t="shared" si="431"/>
        <v>女</v>
      </c>
      <c r="E1063" s="7" t="str">
        <f>"460003199107030222"</f>
        <v>460003199107030222</v>
      </c>
      <c r="F1063" s="7" t="str">
        <f>"琼台师范高等专科学校"</f>
        <v>琼台师范高等专科学校</v>
      </c>
      <c r="G1063" s="7" t="str">
        <f t="shared" si="433"/>
        <v>学前教育</v>
      </c>
      <c r="H1063" s="7" t="str">
        <f t="shared" si="434"/>
        <v>专科</v>
      </c>
      <c r="I1063" s="7" t="str">
        <f t="shared" si="420"/>
        <v>幼儿园教师资格</v>
      </c>
    </row>
    <row r="1064" customHeight="1" spans="1:9">
      <c r="A1064" s="6">
        <v>1062</v>
      </c>
      <c r="B1064" s="7" t="s">
        <v>12</v>
      </c>
      <c r="C1064" s="8" t="str">
        <f>"吴惠春"</f>
        <v>吴惠春</v>
      </c>
      <c r="D1064" s="8" t="str">
        <f t="shared" si="431"/>
        <v>女</v>
      </c>
      <c r="E1064" s="7" t="str">
        <f>"460003199601072049"</f>
        <v>460003199601072049</v>
      </c>
      <c r="F1064" s="7" t="str">
        <f t="shared" si="432"/>
        <v>琼台师范学院</v>
      </c>
      <c r="G1064" s="7" t="str">
        <f t="shared" si="433"/>
        <v>学前教育</v>
      </c>
      <c r="H1064" s="7" t="str">
        <f t="shared" si="434"/>
        <v>专科</v>
      </c>
      <c r="I1064" s="7" t="str">
        <f t="shared" si="420"/>
        <v>幼儿园教师资格</v>
      </c>
    </row>
    <row r="1065" customHeight="1" spans="1:9">
      <c r="A1065" s="6">
        <v>1063</v>
      </c>
      <c r="B1065" s="7" t="s">
        <v>10</v>
      </c>
      <c r="C1065" s="8" t="str">
        <f>"周夏嘉"</f>
        <v>周夏嘉</v>
      </c>
      <c r="D1065" s="8" t="str">
        <f t="shared" si="431"/>
        <v>女</v>
      </c>
      <c r="E1065" s="7" t="str">
        <f>"460002199701120048"</f>
        <v>460002199701120048</v>
      </c>
      <c r="F1065" s="7" t="str">
        <f t="shared" si="432"/>
        <v>琼台师范学院</v>
      </c>
      <c r="G1065" s="7" t="str">
        <f t="shared" si="433"/>
        <v>学前教育</v>
      </c>
      <c r="H1065" s="7" t="str">
        <f t="shared" si="434"/>
        <v>专科</v>
      </c>
      <c r="I1065" s="7" t="str">
        <f t="shared" si="420"/>
        <v>幼儿园教师资格</v>
      </c>
    </row>
    <row r="1066" customHeight="1" spans="1:9">
      <c r="A1066" s="6">
        <v>1064</v>
      </c>
      <c r="B1066" s="7" t="s">
        <v>12</v>
      </c>
      <c r="C1066" s="8" t="str">
        <f>"王艺铮"</f>
        <v>王艺铮</v>
      </c>
      <c r="D1066" s="8" t="str">
        <f t="shared" si="431"/>
        <v>女</v>
      </c>
      <c r="E1066" s="7" t="str">
        <f>"460028199801060429"</f>
        <v>460028199801060429</v>
      </c>
      <c r="F1066" s="7" t="str">
        <f t="shared" si="432"/>
        <v>琼台师范学院</v>
      </c>
      <c r="G1066" s="7" t="str">
        <f t="shared" si="433"/>
        <v>学前教育</v>
      </c>
      <c r="H1066" s="7" t="str">
        <f t="shared" si="434"/>
        <v>专科</v>
      </c>
      <c r="I1066" s="7" t="str">
        <f t="shared" si="420"/>
        <v>幼儿园教师资格</v>
      </c>
    </row>
    <row r="1067" customHeight="1" spans="1:9">
      <c r="A1067" s="6">
        <v>1065</v>
      </c>
      <c r="B1067" s="7" t="s">
        <v>12</v>
      </c>
      <c r="C1067" s="8" t="str">
        <f>"林娟香"</f>
        <v>林娟香</v>
      </c>
      <c r="D1067" s="8" t="str">
        <f t="shared" si="431"/>
        <v>女</v>
      </c>
      <c r="E1067" s="7" t="str">
        <f>"460006199802232722"</f>
        <v>460006199802232722</v>
      </c>
      <c r="F1067" s="7" t="str">
        <f t="shared" si="432"/>
        <v>琼台师范学院</v>
      </c>
      <c r="G1067" s="7" t="str">
        <f t="shared" si="433"/>
        <v>学前教育</v>
      </c>
      <c r="H1067" s="7" t="str">
        <f t="shared" si="434"/>
        <v>专科</v>
      </c>
      <c r="I1067" s="7" t="str">
        <f t="shared" si="420"/>
        <v>幼儿园教师资格</v>
      </c>
    </row>
    <row r="1068" customHeight="1" spans="1:9">
      <c r="A1068" s="6">
        <v>1066</v>
      </c>
      <c r="B1068" s="7" t="s">
        <v>10</v>
      </c>
      <c r="C1068" s="8" t="str">
        <f>"黎美慧"</f>
        <v>黎美慧</v>
      </c>
      <c r="D1068" s="8" t="str">
        <f t="shared" si="431"/>
        <v>女</v>
      </c>
      <c r="E1068" s="7" t="str">
        <f>"460002199810065228"</f>
        <v>460002199810065228</v>
      </c>
      <c r="F1068" s="7" t="str">
        <f t="shared" si="432"/>
        <v>琼台师范学院</v>
      </c>
      <c r="G1068" s="7" t="str">
        <f t="shared" si="433"/>
        <v>学前教育</v>
      </c>
      <c r="H1068" s="7" t="str">
        <f t="shared" si="434"/>
        <v>专科</v>
      </c>
      <c r="I1068" s="7" t="str">
        <f t="shared" si="420"/>
        <v>幼儿园教师资格</v>
      </c>
    </row>
    <row r="1069" customHeight="1" spans="1:9">
      <c r="A1069" s="6">
        <v>1067</v>
      </c>
      <c r="B1069" s="7" t="s">
        <v>10</v>
      </c>
      <c r="C1069" s="8" t="str">
        <f>"王一辰"</f>
        <v>王一辰</v>
      </c>
      <c r="D1069" s="8" t="str">
        <f t="shared" si="431"/>
        <v>女</v>
      </c>
      <c r="E1069" s="7" t="str">
        <f>"460007199704170843"</f>
        <v>460007199704170843</v>
      </c>
      <c r="F1069" s="7" t="str">
        <f t="shared" si="432"/>
        <v>琼台师范学院</v>
      </c>
      <c r="G1069" s="7" t="str">
        <f t="shared" si="433"/>
        <v>学前教育</v>
      </c>
      <c r="H1069" s="7" t="str">
        <f t="shared" si="434"/>
        <v>专科</v>
      </c>
      <c r="I1069" s="7" t="str">
        <f t="shared" si="420"/>
        <v>幼儿园教师资格</v>
      </c>
    </row>
    <row r="1070" customHeight="1" spans="1:9">
      <c r="A1070" s="6">
        <v>1068</v>
      </c>
      <c r="B1070" s="7" t="s">
        <v>11</v>
      </c>
      <c r="C1070" s="8" t="str">
        <f>"吴琪琦"</f>
        <v>吴琪琦</v>
      </c>
      <c r="D1070" s="8" t="str">
        <f t="shared" si="431"/>
        <v>女</v>
      </c>
      <c r="E1070" s="7" t="str">
        <f>"460005199510265622"</f>
        <v>460005199510265622</v>
      </c>
      <c r="F1070" s="7" t="str">
        <f>"海南热带海洋学院"</f>
        <v>海南热带海洋学院</v>
      </c>
      <c r="G1070" s="7" t="str">
        <f>"学前教育专业"</f>
        <v>学前教育专业</v>
      </c>
      <c r="H1070" s="7" t="str">
        <f>"本科"</f>
        <v>本科</v>
      </c>
      <c r="I1070" s="7" t="str">
        <f t="shared" si="420"/>
        <v>幼儿园教师资格</v>
      </c>
    </row>
    <row r="1071" customHeight="1" spans="1:9">
      <c r="A1071" s="6">
        <v>1069</v>
      </c>
      <c r="B1071" s="7" t="s">
        <v>11</v>
      </c>
      <c r="C1071" s="8" t="str">
        <f>"刘壮梅"</f>
        <v>刘壮梅</v>
      </c>
      <c r="D1071" s="8" t="str">
        <f t="shared" si="431"/>
        <v>女</v>
      </c>
      <c r="E1071" s="7" t="str">
        <f>"460031199001026423"</f>
        <v>460031199001026423</v>
      </c>
      <c r="F1071" s="7" t="str">
        <f>"海南师范大学"</f>
        <v>海南师范大学</v>
      </c>
      <c r="G1071" s="7" t="str">
        <f t="shared" ref="G1071:G1086" si="435">"学前教育"</f>
        <v>学前教育</v>
      </c>
      <c r="H1071" s="7" t="str">
        <f t="shared" ref="H1071:H1077" si="436">"专科"</f>
        <v>专科</v>
      </c>
      <c r="I1071" s="7" t="str">
        <f t="shared" si="420"/>
        <v>幼儿园教师资格</v>
      </c>
    </row>
    <row r="1072" customHeight="1" spans="1:9">
      <c r="A1072" s="6">
        <v>1070</v>
      </c>
      <c r="B1072" s="7" t="s">
        <v>11</v>
      </c>
      <c r="C1072" s="8" t="str">
        <f>"王燕媚"</f>
        <v>王燕媚</v>
      </c>
      <c r="D1072" s="8" t="str">
        <f t="shared" si="431"/>
        <v>女</v>
      </c>
      <c r="E1072" s="7" t="str">
        <f>"460028199610020045"</f>
        <v>460028199610020045</v>
      </c>
      <c r="F1072" s="7" t="str">
        <f>"江西科技学院"</f>
        <v>江西科技学院</v>
      </c>
      <c r="G1072" s="7" t="str">
        <f t="shared" si="435"/>
        <v>学前教育</v>
      </c>
      <c r="H1072" s="7" t="str">
        <f>"本科"</f>
        <v>本科</v>
      </c>
      <c r="I1072" s="7" t="str">
        <f t="shared" si="420"/>
        <v>幼儿园教师资格</v>
      </c>
    </row>
    <row r="1073" customHeight="1" spans="1:9">
      <c r="A1073" s="6">
        <v>1071</v>
      </c>
      <c r="B1073" s="7" t="s">
        <v>11</v>
      </c>
      <c r="C1073" s="8" t="str">
        <f>"钟一媚"</f>
        <v>钟一媚</v>
      </c>
      <c r="D1073" s="8" t="str">
        <f t="shared" si="431"/>
        <v>女</v>
      </c>
      <c r="E1073" s="7" t="str">
        <f>"460003199407231640"</f>
        <v>460003199407231640</v>
      </c>
      <c r="F1073" s="7" t="str">
        <f>"琼台师范学院"</f>
        <v>琼台师范学院</v>
      </c>
      <c r="G1073" s="7" t="str">
        <f t="shared" si="435"/>
        <v>学前教育</v>
      </c>
      <c r="H1073" s="7" t="str">
        <f t="shared" si="436"/>
        <v>专科</v>
      </c>
      <c r="I1073" s="7" t="str">
        <f t="shared" si="420"/>
        <v>幼儿园教师资格</v>
      </c>
    </row>
    <row r="1074" customHeight="1" spans="1:9">
      <c r="A1074" s="6">
        <v>1072</v>
      </c>
      <c r="B1074" s="7" t="s">
        <v>11</v>
      </c>
      <c r="C1074" s="8" t="str">
        <f>"周伟娥"</f>
        <v>周伟娥</v>
      </c>
      <c r="D1074" s="8" t="str">
        <f t="shared" si="431"/>
        <v>女</v>
      </c>
      <c r="E1074" s="7" t="str">
        <f>"460003199708274644"</f>
        <v>460003199708274644</v>
      </c>
      <c r="F1074" s="7" t="str">
        <f>"热带海洋学院"</f>
        <v>热带海洋学院</v>
      </c>
      <c r="G1074" s="7" t="str">
        <f t="shared" si="435"/>
        <v>学前教育</v>
      </c>
      <c r="H1074" s="7" t="str">
        <f t="shared" si="436"/>
        <v>专科</v>
      </c>
      <c r="I1074" s="7" t="str">
        <f t="shared" si="420"/>
        <v>幼儿园教师资格</v>
      </c>
    </row>
    <row r="1075" customHeight="1" spans="1:9">
      <c r="A1075" s="6">
        <v>1073</v>
      </c>
      <c r="B1075" s="7" t="s">
        <v>10</v>
      </c>
      <c r="C1075" s="8" t="str">
        <f>"黄晓雅"</f>
        <v>黄晓雅</v>
      </c>
      <c r="D1075" s="8" t="str">
        <f t="shared" si="431"/>
        <v>女</v>
      </c>
      <c r="E1075" s="7" t="str">
        <f>"460034199205252448"</f>
        <v>460034199205252448</v>
      </c>
      <c r="F1075" s="7" t="str">
        <f>"景德镇学院"</f>
        <v>景德镇学院</v>
      </c>
      <c r="G1075" s="7" t="str">
        <f t="shared" si="435"/>
        <v>学前教育</v>
      </c>
      <c r="H1075" s="7" t="str">
        <f t="shared" si="436"/>
        <v>专科</v>
      </c>
      <c r="I1075" s="7" t="str">
        <f t="shared" si="420"/>
        <v>幼儿园教师资格</v>
      </c>
    </row>
    <row r="1076" customHeight="1" spans="1:9">
      <c r="A1076" s="6">
        <v>1074</v>
      </c>
      <c r="B1076" s="7" t="s">
        <v>12</v>
      </c>
      <c r="C1076" s="8" t="str">
        <f>"吴亚芬"</f>
        <v>吴亚芬</v>
      </c>
      <c r="D1076" s="8" t="str">
        <f t="shared" si="431"/>
        <v>女</v>
      </c>
      <c r="E1076" s="7" t="str">
        <f>"460004199002053221"</f>
        <v>460004199002053221</v>
      </c>
      <c r="F1076" s="7" t="str">
        <f>"琼台师范高等专科学校"</f>
        <v>琼台师范高等专科学校</v>
      </c>
      <c r="G1076" s="7" t="str">
        <f t="shared" si="435"/>
        <v>学前教育</v>
      </c>
      <c r="H1076" s="7" t="str">
        <f t="shared" si="436"/>
        <v>专科</v>
      </c>
      <c r="I1076" s="7" t="str">
        <f t="shared" si="420"/>
        <v>幼儿园教师资格</v>
      </c>
    </row>
    <row r="1077" customHeight="1" spans="1:9">
      <c r="A1077" s="6">
        <v>1075</v>
      </c>
      <c r="B1077" s="7" t="s">
        <v>12</v>
      </c>
      <c r="C1077" s="8" t="str">
        <f>"许芬"</f>
        <v>许芬</v>
      </c>
      <c r="D1077" s="8" t="str">
        <f t="shared" si="431"/>
        <v>女</v>
      </c>
      <c r="E1077" s="7" t="str">
        <f>"460028199603290821"</f>
        <v>460028199603290821</v>
      </c>
      <c r="F1077" s="7" t="str">
        <f t="shared" ref="F1077:F1082" si="437">"琼台师范学院"</f>
        <v>琼台师范学院</v>
      </c>
      <c r="G1077" s="7" t="str">
        <f t="shared" si="435"/>
        <v>学前教育</v>
      </c>
      <c r="H1077" s="7" t="str">
        <f t="shared" si="436"/>
        <v>专科</v>
      </c>
      <c r="I1077" s="7" t="str">
        <f t="shared" si="420"/>
        <v>幼儿园教师资格</v>
      </c>
    </row>
    <row r="1078" customHeight="1" spans="1:9">
      <c r="A1078" s="6">
        <v>1076</v>
      </c>
      <c r="B1078" s="7" t="s">
        <v>11</v>
      </c>
      <c r="C1078" s="8" t="str">
        <f>"林小燕"</f>
        <v>林小燕</v>
      </c>
      <c r="D1078" s="8" t="str">
        <f t="shared" si="431"/>
        <v>女</v>
      </c>
      <c r="E1078" s="7" t="str">
        <f>"460003199012070643"</f>
        <v>460003199012070643</v>
      </c>
      <c r="F1078" s="7" t="str">
        <f>"山西省忻州师范学院"</f>
        <v>山西省忻州师范学院</v>
      </c>
      <c r="G1078" s="7" t="str">
        <f t="shared" si="435"/>
        <v>学前教育</v>
      </c>
      <c r="H1078" s="7" t="str">
        <f t="shared" ref="H1078:H1083" si="438">"本科"</f>
        <v>本科</v>
      </c>
      <c r="I1078" s="7" t="str">
        <f t="shared" si="420"/>
        <v>幼儿园教师资格</v>
      </c>
    </row>
    <row r="1079" customHeight="1" spans="1:9">
      <c r="A1079" s="6">
        <v>1077</v>
      </c>
      <c r="B1079" s="7" t="s">
        <v>11</v>
      </c>
      <c r="C1079" s="8" t="str">
        <f>"吴晶晶"</f>
        <v>吴晶晶</v>
      </c>
      <c r="D1079" s="8" t="str">
        <f t="shared" si="431"/>
        <v>女</v>
      </c>
      <c r="E1079" s="7" t="str">
        <f>"46003419990528212X"</f>
        <v>46003419990528212X</v>
      </c>
      <c r="F1079" s="7" t="str">
        <f t="shared" si="437"/>
        <v>琼台师范学院</v>
      </c>
      <c r="G1079" s="7" t="str">
        <f t="shared" si="435"/>
        <v>学前教育</v>
      </c>
      <c r="H1079" s="7" t="str">
        <f t="shared" ref="H1079:H1082" si="439">"专科"</f>
        <v>专科</v>
      </c>
      <c r="I1079" s="7" t="str">
        <f t="shared" si="420"/>
        <v>幼儿园教师资格</v>
      </c>
    </row>
    <row r="1080" customHeight="1" spans="1:9">
      <c r="A1080" s="6">
        <v>1078</v>
      </c>
      <c r="B1080" s="7" t="s">
        <v>11</v>
      </c>
      <c r="C1080" s="8" t="str">
        <f>"何元桃"</f>
        <v>何元桃</v>
      </c>
      <c r="D1080" s="8" t="str">
        <f t="shared" si="431"/>
        <v>女</v>
      </c>
      <c r="E1080" s="7" t="str">
        <f>"460003199504284429"</f>
        <v>460003199504284429</v>
      </c>
      <c r="F1080" s="7" t="str">
        <f>"湖北省潜江市江汉艺术职业学院"</f>
        <v>湖北省潜江市江汉艺术职业学院</v>
      </c>
      <c r="G1080" s="7" t="str">
        <f t="shared" si="435"/>
        <v>学前教育</v>
      </c>
      <c r="H1080" s="7" t="str">
        <f t="shared" si="439"/>
        <v>专科</v>
      </c>
      <c r="I1080" s="7" t="str">
        <f t="shared" si="420"/>
        <v>幼儿园教师资格</v>
      </c>
    </row>
    <row r="1081" customHeight="1" spans="1:9">
      <c r="A1081" s="6">
        <v>1079</v>
      </c>
      <c r="B1081" s="7" t="s">
        <v>10</v>
      </c>
      <c r="C1081" s="8" t="str">
        <f>"黄启妹"</f>
        <v>黄启妹</v>
      </c>
      <c r="D1081" s="8" t="str">
        <f t="shared" si="431"/>
        <v>女</v>
      </c>
      <c r="E1081" s="7" t="str">
        <f>"460003199303166223"</f>
        <v>460003199303166223</v>
      </c>
      <c r="F1081" s="7" t="str">
        <f>"海南师范大学"</f>
        <v>海南师范大学</v>
      </c>
      <c r="G1081" s="7" t="str">
        <f t="shared" si="435"/>
        <v>学前教育</v>
      </c>
      <c r="H1081" s="7" t="str">
        <f t="shared" si="438"/>
        <v>本科</v>
      </c>
      <c r="I1081" s="7" t="str">
        <f t="shared" si="420"/>
        <v>幼儿园教师资格</v>
      </c>
    </row>
    <row r="1082" customHeight="1" spans="1:9">
      <c r="A1082" s="6">
        <v>1080</v>
      </c>
      <c r="B1082" s="7" t="s">
        <v>10</v>
      </c>
      <c r="C1082" s="8" t="str">
        <f>"郑小丹"</f>
        <v>郑小丹</v>
      </c>
      <c r="D1082" s="8" t="str">
        <f t="shared" si="431"/>
        <v>女</v>
      </c>
      <c r="E1082" s="7" t="str">
        <f>"469023199611061320"</f>
        <v>469023199611061320</v>
      </c>
      <c r="F1082" s="7" t="str">
        <f t="shared" si="437"/>
        <v>琼台师范学院</v>
      </c>
      <c r="G1082" s="7" t="str">
        <f t="shared" si="435"/>
        <v>学前教育</v>
      </c>
      <c r="H1082" s="7" t="str">
        <f t="shared" si="439"/>
        <v>专科</v>
      </c>
      <c r="I1082" s="7" t="str">
        <f t="shared" si="420"/>
        <v>幼儿园教师资格</v>
      </c>
    </row>
    <row r="1083" customHeight="1" spans="1:9">
      <c r="A1083" s="6">
        <v>1081</v>
      </c>
      <c r="B1083" s="7" t="s">
        <v>11</v>
      </c>
      <c r="C1083" s="8" t="str">
        <f>"唐丹乾"</f>
        <v>唐丹乾</v>
      </c>
      <c r="D1083" s="8" t="str">
        <f t="shared" si="431"/>
        <v>女</v>
      </c>
      <c r="E1083" s="7" t="str">
        <f>"46030019931124062X"</f>
        <v>46030019931124062X</v>
      </c>
      <c r="F1083" s="7" t="str">
        <f>"河南省平顶山学院"</f>
        <v>河南省平顶山学院</v>
      </c>
      <c r="G1083" s="7" t="str">
        <f t="shared" si="435"/>
        <v>学前教育</v>
      </c>
      <c r="H1083" s="7" t="str">
        <f t="shared" si="438"/>
        <v>本科</v>
      </c>
      <c r="I1083" s="7" t="str">
        <f t="shared" si="420"/>
        <v>幼儿园教师资格</v>
      </c>
    </row>
    <row r="1084" customHeight="1" spans="1:9">
      <c r="A1084" s="6">
        <v>1082</v>
      </c>
      <c r="B1084" s="7" t="s">
        <v>10</v>
      </c>
      <c r="C1084" s="8" t="str">
        <f>"郑秀丽"</f>
        <v>郑秀丽</v>
      </c>
      <c r="D1084" s="8" t="str">
        <f t="shared" si="431"/>
        <v>女</v>
      </c>
      <c r="E1084" s="7" t="str">
        <f>"46003119940923682X"</f>
        <v>46003119940923682X</v>
      </c>
      <c r="F1084" s="7" t="str">
        <f>"琼台师范学校"</f>
        <v>琼台师范学校</v>
      </c>
      <c r="G1084" s="7" t="str">
        <f t="shared" si="435"/>
        <v>学前教育</v>
      </c>
      <c r="H1084" s="7" t="str">
        <f t="shared" ref="H1084:H1086" si="440">"专科"</f>
        <v>专科</v>
      </c>
      <c r="I1084" s="7" t="str">
        <f t="shared" si="420"/>
        <v>幼儿园教师资格</v>
      </c>
    </row>
    <row r="1085" customHeight="1" spans="1:9">
      <c r="A1085" s="6">
        <v>1083</v>
      </c>
      <c r="B1085" s="7" t="s">
        <v>12</v>
      </c>
      <c r="C1085" s="8" t="str">
        <f>"吴秀乾"</f>
        <v>吴秀乾</v>
      </c>
      <c r="D1085" s="8" t="str">
        <f t="shared" si="431"/>
        <v>女</v>
      </c>
      <c r="E1085" s="7" t="str">
        <f>"469003199505144688"</f>
        <v>469003199505144688</v>
      </c>
      <c r="F1085" s="7" t="str">
        <f t="shared" ref="F1085:F1088" si="441">"琼台师范学院"</f>
        <v>琼台师范学院</v>
      </c>
      <c r="G1085" s="7" t="str">
        <f t="shared" si="435"/>
        <v>学前教育</v>
      </c>
      <c r="H1085" s="7" t="str">
        <f t="shared" si="440"/>
        <v>专科</v>
      </c>
      <c r="I1085" s="7" t="str">
        <f t="shared" si="420"/>
        <v>幼儿园教师资格</v>
      </c>
    </row>
    <row r="1086" customHeight="1" spans="1:9">
      <c r="A1086" s="6">
        <v>1084</v>
      </c>
      <c r="B1086" s="7" t="s">
        <v>10</v>
      </c>
      <c r="C1086" s="8" t="str">
        <f>"符力敏"</f>
        <v>符力敏</v>
      </c>
      <c r="D1086" s="8" t="str">
        <f t="shared" si="431"/>
        <v>女</v>
      </c>
      <c r="E1086" s="7" t="str">
        <f>"46010219960721182X"</f>
        <v>46010219960721182X</v>
      </c>
      <c r="F1086" s="7" t="str">
        <f t="shared" si="441"/>
        <v>琼台师范学院</v>
      </c>
      <c r="G1086" s="7" t="str">
        <f t="shared" si="435"/>
        <v>学前教育</v>
      </c>
      <c r="H1086" s="7" t="str">
        <f t="shared" si="440"/>
        <v>专科</v>
      </c>
      <c r="I1086" s="7" t="str">
        <f t="shared" si="420"/>
        <v>幼儿园教师资格</v>
      </c>
    </row>
    <row r="1087" customHeight="1" spans="1:9">
      <c r="A1087" s="6">
        <v>1085</v>
      </c>
      <c r="B1087" s="7" t="s">
        <v>10</v>
      </c>
      <c r="C1087" s="8" t="str">
        <f>"梁曼"</f>
        <v>梁曼</v>
      </c>
      <c r="D1087" s="8" t="str">
        <f t="shared" si="431"/>
        <v>女</v>
      </c>
      <c r="E1087" s="7" t="str">
        <f>"460027199707070026"</f>
        <v>460027199707070026</v>
      </c>
      <c r="F1087" s="7" t="str">
        <f>"忻州师范学院"</f>
        <v>忻州师范学院</v>
      </c>
      <c r="G1087" s="7" t="str">
        <f>"学前教育专业"</f>
        <v>学前教育专业</v>
      </c>
      <c r="H1087" s="7" t="str">
        <f>"本科"</f>
        <v>本科</v>
      </c>
      <c r="I1087" s="7" t="str">
        <f t="shared" si="420"/>
        <v>幼儿园教师资格</v>
      </c>
    </row>
    <row r="1088" customHeight="1" spans="1:9">
      <c r="A1088" s="6">
        <v>1086</v>
      </c>
      <c r="B1088" s="7" t="s">
        <v>10</v>
      </c>
      <c r="C1088" s="8" t="str">
        <f>"王一凡"</f>
        <v>王一凡</v>
      </c>
      <c r="D1088" s="8" t="str">
        <f t="shared" si="431"/>
        <v>女</v>
      </c>
      <c r="E1088" s="7" t="str">
        <f>"460028199403214429"</f>
        <v>460028199403214429</v>
      </c>
      <c r="F1088" s="7" t="str">
        <f t="shared" si="441"/>
        <v>琼台师范学院</v>
      </c>
      <c r="G1088" s="7" t="str">
        <f t="shared" ref="G1088:G1098" si="442">"学前教育"</f>
        <v>学前教育</v>
      </c>
      <c r="H1088" s="7" t="str">
        <f t="shared" ref="H1088:H1091" si="443">"专科"</f>
        <v>专科</v>
      </c>
      <c r="I1088" s="7" t="str">
        <f t="shared" si="420"/>
        <v>幼儿园教师资格</v>
      </c>
    </row>
    <row r="1089" customHeight="1" spans="1:9">
      <c r="A1089" s="6">
        <v>1087</v>
      </c>
      <c r="B1089" s="7" t="s">
        <v>12</v>
      </c>
      <c r="C1089" s="8" t="str">
        <f>"谢蓉"</f>
        <v>谢蓉</v>
      </c>
      <c r="D1089" s="8" t="str">
        <f t="shared" si="431"/>
        <v>女</v>
      </c>
      <c r="E1089" s="7" t="str">
        <f>"460006199611260923"</f>
        <v>460006199611260923</v>
      </c>
      <c r="F1089" s="7" t="str">
        <f>"海南师范大学"</f>
        <v>海南师范大学</v>
      </c>
      <c r="G1089" s="7" t="str">
        <f>"学前教育专业"</f>
        <v>学前教育专业</v>
      </c>
      <c r="H1089" s="7" t="str">
        <f t="shared" ref="H1089:H1095" si="444">"本科"</f>
        <v>本科</v>
      </c>
      <c r="I1089" s="7" t="str">
        <f t="shared" ref="I1089:I1152" si="445">"幼儿园教师资格"</f>
        <v>幼儿园教师资格</v>
      </c>
    </row>
    <row r="1090" customHeight="1" spans="1:9">
      <c r="A1090" s="6">
        <v>1088</v>
      </c>
      <c r="B1090" s="7" t="s">
        <v>10</v>
      </c>
      <c r="C1090" s="8" t="str">
        <f>"李晓惠"</f>
        <v>李晓惠</v>
      </c>
      <c r="D1090" s="8" t="str">
        <f t="shared" si="431"/>
        <v>女</v>
      </c>
      <c r="E1090" s="7" t="str">
        <f>"460004199705110827"</f>
        <v>460004199705110827</v>
      </c>
      <c r="F1090" s="7" t="str">
        <f>"海南热带海洋学院"</f>
        <v>海南热带海洋学院</v>
      </c>
      <c r="G1090" s="7" t="str">
        <f t="shared" si="442"/>
        <v>学前教育</v>
      </c>
      <c r="H1090" s="7" t="str">
        <f t="shared" si="443"/>
        <v>专科</v>
      </c>
      <c r="I1090" s="7" t="str">
        <f t="shared" si="445"/>
        <v>幼儿园教师资格</v>
      </c>
    </row>
    <row r="1091" customHeight="1" spans="1:9">
      <c r="A1091" s="6">
        <v>1089</v>
      </c>
      <c r="B1091" s="7" t="s">
        <v>12</v>
      </c>
      <c r="C1091" s="8" t="str">
        <f>"陈少芬"</f>
        <v>陈少芬</v>
      </c>
      <c r="D1091" s="8" t="str">
        <f t="shared" si="431"/>
        <v>女</v>
      </c>
      <c r="E1091" s="7" t="str">
        <f>"460028199305120023"</f>
        <v>460028199305120023</v>
      </c>
      <c r="F1091" s="7" t="str">
        <f>"琼州学院"</f>
        <v>琼州学院</v>
      </c>
      <c r="G1091" s="7" t="str">
        <f t="shared" si="442"/>
        <v>学前教育</v>
      </c>
      <c r="H1091" s="7" t="str">
        <f t="shared" si="443"/>
        <v>专科</v>
      </c>
      <c r="I1091" s="7" t="str">
        <f t="shared" si="445"/>
        <v>幼儿园教师资格</v>
      </c>
    </row>
    <row r="1092" customHeight="1" spans="1:9">
      <c r="A1092" s="6">
        <v>1090</v>
      </c>
      <c r="B1092" s="7" t="s">
        <v>12</v>
      </c>
      <c r="C1092" s="8" t="str">
        <f>"吴锦"</f>
        <v>吴锦</v>
      </c>
      <c r="D1092" s="8" t="str">
        <f t="shared" si="431"/>
        <v>女</v>
      </c>
      <c r="E1092" s="7" t="str">
        <f>"460027199411078520"</f>
        <v>460027199411078520</v>
      </c>
      <c r="F1092" s="7" t="str">
        <f>"海南热带海洋学院"</f>
        <v>海南热带海洋学院</v>
      </c>
      <c r="G1092" s="7" t="str">
        <f t="shared" si="442"/>
        <v>学前教育</v>
      </c>
      <c r="H1092" s="7" t="str">
        <f>"专科(高职)"</f>
        <v>专科(高职)</v>
      </c>
      <c r="I1092" s="7" t="str">
        <f t="shared" si="445"/>
        <v>幼儿园教师资格</v>
      </c>
    </row>
    <row r="1093" customHeight="1" spans="1:9">
      <c r="A1093" s="6">
        <v>1091</v>
      </c>
      <c r="B1093" s="7" t="s">
        <v>10</v>
      </c>
      <c r="C1093" s="8" t="str">
        <f>"王家桥"</f>
        <v>王家桥</v>
      </c>
      <c r="D1093" s="8" t="str">
        <f>"男"</f>
        <v>男</v>
      </c>
      <c r="E1093" s="7" t="str">
        <f>"460004199503233810"</f>
        <v>460004199503233810</v>
      </c>
      <c r="F1093" s="7" t="str">
        <f>"忻州师范学院"</f>
        <v>忻州师范学院</v>
      </c>
      <c r="G1093" s="7" t="str">
        <f t="shared" si="442"/>
        <v>学前教育</v>
      </c>
      <c r="H1093" s="7" t="str">
        <f t="shared" si="444"/>
        <v>本科</v>
      </c>
      <c r="I1093" s="7" t="str">
        <f t="shared" si="445"/>
        <v>幼儿园教师资格</v>
      </c>
    </row>
    <row r="1094" customHeight="1" spans="1:9">
      <c r="A1094" s="6">
        <v>1092</v>
      </c>
      <c r="B1094" s="7" t="s">
        <v>11</v>
      </c>
      <c r="C1094" s="8" t="str">
        <f>"刘紫姗"</f>
        <v>刘紫姗</v>
      </c>
      <c r="D1094" s="8" t="str">
        <f t="shared" ref="D1094:D1121" si="446">"女"</f>
        <v>女</v>
      </c>
      <c r="E1094" s="7" t="str">
        <f>"46002719960417202X"</f>
        <v>46002719960417202X</v>
      </c>
      <c r="F1094" s="7" t="str">
        <f>"景德镇学院"</f>
        <v>景德镇学院</v>
      </c>
      <c r="G1094" s="7" t="str">
        <f t="shared" si="442"/>
        <v>学前教育</v>
      </c>
      <c r="H1094" s="7" t="str">
        <f t="shared" si="444"/>
        <v>本科</v>
      </c>
      <c r="I1094" s="7" t="str">
        <f t="shared" si="445"/>
        <v>幼儿园教师资格</v>
      </c>
    </row>
    <row r="1095" customHeight="1" spans="1:9">
      <c r="A1095" s="6">
        <v>1093</v>
      </c>
      <c r="B1095" s="7" t="s">
        <v>10</v>
      </c>
      <c r="C1095" s="8" t="str">
        <f>"王雪"</f>
        <v>王雪</v>
      </c>
      <c r="D1095" s="8" t="str">
        <f t="shared" si="446"/>
        <v>女</v>
      </c>
      <c r="E1095" s="7" t="str">
        <f>"46000219930927152X"</f>
        <v>46000219930927152X</v>
      </c>
      <c r="F1095" s="7" t="str">
        <f>"怀化学院"</f>
        <v>怀化学院</v>
      </c>
      <c r="G1095" s="7" t="str">
        <f t="shared" si="442"/>
        <v>学前教育</v>
      </c>
      <c r="H1095" s="7" t="str">
        <f t="shared" si="444"/>
        <v>本科</v>
      </c>
      <c r="I1095" s="7" t="str">
        <f t="shared" si="445"/>
        <v>幼儿园教师资格</v>
      </c>
    </row>
    <row r="1096" customHeight="1" spans="1:9">
      <c r="A1096" s="6">
        <v>1094</v>
      </c>
      <c r="B1096" s="7" t="s">
        <v>10</v>
      </c>
      <c r="C1096" s="8" t="str">
        <f>"钟红"</f>
        <v>钟红</v>
      </c>
      <c r="D1096" s="8" t="str">
        <f t="shared" si="446"/>
        <v>女</v>
      </c>
      <c r="E1096" s="7" t="str">
        <f>"460006199609248124"</f>
        <v>460006199609248124</v>
      </c>
      <c r="F1096" s="7" t="str">
        <f t="shared" ref="F1096:F1099" si="447">"琼台师范学院"</f>
        <v>琼台师范学院</v>
      </c>
      <c r="G1096" s="7" t="str">
        <f t="shared" si="442"/>
        <v>学前教育</v>
      </c>
      <c r="H1096" s="7" t="str">
        <f t="shared" ref="H1096:H1100" si="448">"专科"</f>
        <v>专科</v>
      </c>
      <c r="I1096" s="7" t="str">
        <f t="shared" si="445"/>
        <v>幼儿园教师资格</v>
      </c>
    </row>
    <row r="1097" customHeight="1" spans="1:9">
      <c r="A1097" s="6">
        <v>1095</v>
      </c>
      <c r="B1097" s="7" t="s">
        <v>10</v>
      </c>
      <c r="C1097" s="8" t="str">
        <f>"李彦臻"</f>
        <v>李彦臻</v>
      </c>
      <c r="D1097" s="8" t="str">
        <f t="shared" si="446"/>
        <v>女</v>
      </c>
      <c r="E1097" s="7" t="str">
        <f>"460031199208080822"</f>
        <v>460031199208080822</v>
      </c>
      <c r="F1097" s="7" t="str">
        <f>"贵州师范学院"</f>
        <v>贵州师范学院</v>
      </c>
      <c r="G1097" s="7" t="str">
        <f t="shared" si="442"/>
        <v>学前教育</v>
      </c>
      <c r="H1097" s="7" t="str">
        <f t="shared" si="448"/>
        <v>专科</v>
      </c>
      <c r="I1097" s="7" t="str">
        <f t="shared" si="445"/>
        <v>幼儿园教师资格</v>
      </c>
    </row>
    <row r="1098" customHeight="1" spans="1:9">
      <c r="A1098" s="6">
        <v>1096</v>
      </c>
      <c r="B1098" s="7" t="s">
        <v>12</v>
      </c>
      <c r="C1098" s="8" t="str">
        <f>"郭嫦媛"</f>
        <v>郭嫦媛</v>
      </c>
      <c r="D1098" s="8" t="str">
        <f t="shared" si="446"/>
        <v>女</v>
      </c>
      <c r="E1098" s="7" t="str">
        <f>"460003199403107028"</f>
        <v>460003199403107028</v>
      </c>
      <c r="F1098" s="7" t="str">
        <f t="shared" si="447"/>
        <v>琼台师范学院</v>
      </c>
      <c r="G1098" s="7" t="str">
        <f t="shared" si="442"/>
        <v>学前教育</v>
      </c>
      <c r="H1098" s="7" t="str">
        <f t="shared" si="448"/>
        <v>专科</v>
      </c>
      <c r="I1098" s="7" t="str">
        <f t="shared" si="445"/>
        <v>幼儿园教师资格</v>
      </c>
    </row>
    <row r="1099" customHeight="1" spans="1:9">
      <c r="A1099" s="6">
        <v>1097</v>
      </c>
      <c r="B1099" s="7" t="s">
        <v>12</v>
      </c>
      <c r="C1099" s="8" t="str">
        <f>"刘江儒"</f>
        <v>刘江儒</v>
      </c>
      <c r="D1099" s="8" t="str">
        <f t="shared" si="446"/>
        <v>女</v>
      </c>
      <c r="E1099" s="7" t="str">
        <f>"460033199603056622"</f>
        <v>460033199603056622</v>
      </c>
      <c r="F1099" s="7" t="str">
        <f t="shared" si="447"/>
        <v>琼台师范学院</v>
      </c>
      <c r="G1099" s="7" t="str">
        <f>"学前教育专业"</f>
        <v>学前教育专业</v>
      </c>
      <c r="H1099" s="7" t="str">
        <f t="shared" si="448"/>
        <v>专科</v>
      </c>
      <c r="I1099" s="7" t="str">
        <f t="shared" si="445"/>
        <v>幼儿园教师资格</v>
      </c>
    </row>
    <row r="1100" customHeight="1" spans="1:9">
      <c r="A1100" s="6">
        <v>1098</v>
      </c>
      <c r="B1100" s="7" t="s">
        <v>10</v>
      </c>
      <c r="C1100" s="8" t="str">
        <f>"周美伶"</f>
        <v>周美伶</v>
      </c>
      <c r="D1100" s="8" t="str">
        <f t="shared" si="446"/>
        <v>女</v>
      </c>
      <c r="E1100" s="7" t="str">
        <f>"460028199803036027"</f>
        <v>460028199803036027</v>
      </c>
      <c r="F1100" s="7" t="str">
        <f>"琼台幼儿师范学院"</f>
        <v>琼台幼儿师范学院</v>
      </c>
      <c r="G1100" s="7" t="str">
        <f t="shared" ref="G1100:G1106" si="449">"学前教育"</f>
        <v>学前教育</v>
      </c>
      <c r="H1100" s="7" t="str">
        <f t="shared" si="448"/>
        <v>专科</v>
      </c>
      <c r="I1100" s="7" t="str">
        <f t="shared" si="445"/>
        <v>幼儿园教师资格</v>
      </c>
    </row>
    <row r="1101" customHeight="1" spans="1:9">
      <c r="A1101" s="6">
        <v>1099</v>
      </c>
      <c r="B1101" s="7" t="s">
        <v>11</v>
      </c>
      <c r="C1101" s="8" t="str">
        <f>"张沂"</f>
        <v>张沂</v>
      </c>
      <c r="D1101" s="8" t="str">
        <f t="shared" si="446"/>
        <v>女</v>
      </c>
      <c r="E1101" s="7" t="str">
        <f>"420204199508184521"</f>
        <v>420204199508184521</v>
      </c>
      <c r="F1101" s="7" t="str">
        <f>"商丘师范学院"</f>
        <v>商丘师范学院</v>
      </c>
      <c r="G1101" s="7" t="str">
        <f t="shared" si="449"/>
        <v>学前教育</v>
      </c>
      <c r="H1101" s="7" t="str">
        <f>"本科"</f>
        <v>本科</v>
      </c>
      <c r="I1101" s="7" t="str">
        <f t="shared" si="445"/>
        <v>幼儿园教师资格</v>
      </c>
    </row>
    <row r="1102" customHeight="1" spans="1:9">
      <c r="A1102" s="6">
        <v>1100</v>
      </c>
      <c r="B1102" s="7" t="s">
        <v>11</v>
      </c>
      <c r="C1102" s="8" t="str">
        <f>"金姜霞"</f>
        <v>金姜霞</v>
      </c>
      <c r="D1102" s="8" t="str">
        <f t="shared" si="446"/>
        <v>女</v>
      </c>
      <c r="E1102" s="7" t="str">
        <f>"460003200001162820"</f>
        <v>460003200001162820</v>
      </c>
      <c r="F1102" s="7" t="str">
        <f t="shared" ref="F1102:F1105" si="450">"琼台师范学院"</f>
        <v>琼台师范学院</v>
      </c>
      <c r="G1102" s="7" t="str">
        <f t="shared" si="449"/>
        <v>学前教育</v>
      </c>
      <c r="H1102" s="7" t="str">
        <f t="shared" ref="H1102:H1106" si="451">"专科"</f>
        <v>专科</v>
      </c>
      <c r="I1102" s="7" t="str">
        <f t="shared" si="445"/>
        <v>幼儿园教师资格</v>
      </c>
    </row>
    <row r="1103" customHeight="1" spans="1:9">
      <c r="A1103" s="6">
        <v>1101</v>
      </c>
      <c r="B1103" s="7" t="s">
        <v>10</v>
      </c>
      <c r="C1103" s="8" t="str">
        <f>"黄文晓"</f>
        <v>黄文晓</v>
      </c>
      <c r="D1103" s="8" t="str">
        <f t="shared" si="446"/>
        <v>女</v>
      </c>
      <c r="E1103" s="7" t="str">
        <f>"46002719950419298X"</f>
        <v>46002719950419298X</v>
      </c>
      <c r="F1103" s="7" t="str">
        <f t="shared" si="450"/>
        <v>琼台师范学院</v>
      </c>
      <c r="G1103" s="7" t="str">
        <f t="shared" si="449"/>
        <v>学前教育</v>
      </c>
      <c r="H1103" s="7" t="str">
        <f t="shared" si="451"/>
        <v>专科</v>
      </c>
      <c r="I1103" s="7" t="str">
        <f t="shared" si="445"/>
        <v>幼儿园教师资格</v>
      </c>
    </row>
    <row r="1104" customHeight="1" spans="1:9">
      <c r="A1104" s="6">
        <v>1102</v>
      </c>
      <c r="B1104" s="7" t="s">
        <v>10</v>
      </c>
      <c r="C1104" s="8" t="str">
        <f>"谢惠祯"</f>
        <v>谢惠祯</v>
      </c>
      <c r="D1104" s="8" t="str">
        <f t="shared" si="446"/>
        <v>女</v>
      </c>
      <c r="E1104" s="7" t="str">
        <f>"460007199404240029"</f>
        <v>460007199404240029</v>
      </c>
      <c r="F1104" s="7" t="str">
        <f>"海南师范大学"</f>
        <v>海南师范大学</v>
      </c>
      <c r="G1104" s="7" t="str">
        <f t="shared" si="449"/>
        <v>学前教育</v>
      </c>
      <c r="H1104" s="7" t="str">
        <f>"本科"</f>
        <v>本科</v>
      </c>
      <c r="I1104" s="7" t="str">
        <f t="shared" si="445"/>
        <v>幼儿园教师资格</v>
      </c>
    </row>
    <row r="1105" customHeight="1" spans="1:9">
      <c r="A1105" s="6">
        <v>1103</v>
      </c>
      <c r="B1105" s="7" t="s">
        <v>11</v>
      </c>
      <c r="C1105" s="8" t="str">
        <f>"陈石彩"</f>
        <v>陈石彩</v>
      </c>
      <c r="D1105" s="8" t="str">
        <f t="shared" si="446"/>
        <v>女</v>
      </c>
      <c r="E1105" s="7" t="str">
        <f>"469003199410126129"</f>
        <v>469003199410126129</v>
      </c>
      <c r="F1105" s="7" t="str">
        <f t="shared" si="450"/>
        <v>琼台师范学院</v>
      </c>
      <c r="G1105" s="7" t="str">
        <f t="shared" si="449"/>
        <v>学前教育</v>
      </c>
      <c r="H1105" s="7" t="str">
        <f>"专科(高职)"</f>
        <v>专科(高职)</v>
      </c>
      <c r="I1105" s="7" t="str">
        <f t="shared" si="445"/>
        <v>幼儿园教师资格</v>
      </c>
    </row>
    <row r="1106" customHeight="1" spans="1:9">
      <c r="A1106" s="6">
        <v>1104</v>
      </c>
      <c r="B1106" s="7" t="s">
        <v>11</v>
      </c>
      <c r="C1106" s="8" t="str">
        <f>"吴春菊"</f>
        <v>吴春菊</v>
      </c>
      <c r="D1106" s="8" t="str">
        <f t="shared" si="446"/>
        <v>女</v>
      </c>
      <c r="E1106" s="7" t="str">
        <f>"460003199204203420"</f>
        <v>460003199204203420</v>
      </c>
      <c r="F1106" s="7" t="str">
        <f>"海南师范大学"</f>
        <v>海南师范大学</v>
      </c>
      <c r="G1106" s="7" t="str">
        <f t="shared" si="449"/>
        <v>学前教育</v>
      </c>
      <c r="H1106" s="7" t="str">
        <f t="shared" si="451"/>
        <v>专科</v>
      </c>
      <c r="I1106" s="7" t="str">
        <f t="shared" si="445"/>
        <v>幼儿园教师资格</v>
      </c>
    </row>
    <row r="1107" customHeight="1" spans="1:9">
      <c r="A1107" s="6">
        <v>1105</v>
      </c>
      <c r="B1107" s="7" t="s">
        <v>10</v>
      </c>
      <c r="C1107" s="8" t="str">
        <f>"陈柳蓉"</f>
        <v>陈柳蓉</v>
      </c>
      <c r="D1107" s="8" t="str">
        <f t="shared" si="446"/>
        <v>女</v>
      </c>
      <c r="E1107" s="7" t="str">
        <f>"460028199602170027"</f>
        <v>460028199602170027</v>
      </c>
      <c r="F1107" s="7" t="str">
        <f>"贵州师范大学求是学院"</f>
        <v>贵州师范大学求是学院</v>
      </c>
      <c r="G1107" s="7" t="str">
        <f>"学前教育专业"</f>
        <v>学前教育专业</v>
      </c>
      <c r="H1107" s="7" t="str">
        <f>"本科"</f>
        <v>本科</v>
      </c>
      <c r="I1107" s="7" t="str">
        <f t="shared" si="445"/>
        <v>幼儿园教师资格</v>
      </c>
    </row>
    <row r="1108" customHeight="1" spans="1:9">
      <c r="A1108" s="6">
        <v>1106</v>
      </c>
      <c r="B1108" s="7" t="s">
        <v>10</v>
      </c>
      <c r="C1108" s="8" t="str">
        <f>"王金花"</f>
        <v>王金花</v>
      </c>
      <c r="D1108" s="8" t="str">
        <f t="shared" si="446"/>
        <v>女</v>
      </c>
      <c r="E1108" s="7" t="str">
        <f>"46002519981011272X"</f>
        <v>46002519981011272X</v>
      </c>
      <c r="F1108" s="7" t="str">
        <f t="shared" ref="F1108:F1112" si="452">"琼台师范学院"</f>
        <v>琼台师范学院</v>
      </c>
      <c r="G1108" s="7" t="str">
        <f t="shared" ref="G1108:G1114" si="453">"学前教育"</f>
        <v>学前教育</v>
      </c>
      <c r="H1108" s="7" t="str">
        <f t="shared" ref="H1108:H1112" si="454">"专科"</f>
        <v>专科</v>
      </c>
      <c r="I1108" s="7" t="str">
        <f t="shared" si="445"/>
        <v>幼儿园教师资格</v>
      </c>
    </row>
    <row r="1109" customHeight="1" spans="1:9">
      <c r="A1109" s="6">
        <v>1107</v>
      </c>
      <c r="B1109" s="7" t="s">
        <v>12</v>
      </c>
      <c r="C1109" s="8" t="str">
        <f>"朱以玲"</f>
        <v>朱以玲</v>
      </c>
      <c r="D1109" s="8" t="str">
        <f t="shared" si="446"/>
        <v>女</v>
      </c>
      <c r="E1109" s="7" t="str">
        <f>"460003199307084225"</f>
        <v>460003199307084225</v>
      </c>
      <c r="F1109" s="7" t="str">
        <f>"琼台师范高等专科学校"</f>
        <v>琼台师范高等专科学校</v>
      </c>
      <c r="G1109" s="7" t="str">
        <f t="shared" si="453"/>
        <v>学前教育</v>
      </c>
      <c r="H1109" s="7" t="str">
        <f>"专科(高职)"</f>
        <v>专科(高职)</v>
      </c>
      <c r="I1109" s="7" t="str">
        <f t="shared" si="445"/>
        <v>幼儿园教师资格</v>
      </c>
    </row>
    <row r="1110" customHeight="1" spans="1:9">
      <c r="A1110" s="6">
        <v>1108</v>
      </c>
      <c r="B1110" s="7" t="s">
        <v>11</v>
      </c>
      <c r="C1110" s="8" t="str">
        <f>"钟雪丹"</f>
        <v>钟雪丹</v>
      </c>
      <c r="D1110" s="8" t="str">
        <f t="shared" si="446"/>
        <v>女</v>
      </c>
      <c r="E1110" s="7" t="str">
        <f>"460003199212228820"</f>
        <v>460003199212228820</v>
      </c>
      <c r="F1110" s="7" t="str">
        <f>"湖北荆楚理工学院"</f>
        <v>湖北荆楚理工学院</v>
      </c>
      <c r="G1110" s="7" t="str">
        <f t="shared" si="453"/>
        <v>学前教育</v>
      </c>
      <c r="H1110" s="7" t="str">
        <f t="shared" si="454"/>
        <v>专科</v>
      </c>
      <c r="I1110" s="7" t="str">
        <f t="shared" si="445"/>
        <v>幼儿园教师资格</v>
      </c>
    </row>
    <row r="1111" customHeight="1" spans="1:9">
      <c r="A1111" s="6">
        <v>1109</v>
      </c>
      <c r="B1111" s="7" t="s">
        <v>10</v>
      </c>
      <c r="C1111" s="8" t="str">
        <f>"张靖曼"</f>
        <v>张靖曼</v>
      </c>
      <c r="D1111" s="8" t="str">
        <f t="shared" si="446"/>
        <v>女</v>
      </c>
      <c r="E1111" s="7" t="str">
        <f>"460026199504120023"</f>
        <v>460026199504120023</v>
      </c>
      <c r="F1111" s="7" t="str">
        <f t="shared" si="452"/>
        <v>琼台师范学院</v>
      </c>
      <c r="G1111" s="7" t="str">
        <f t="shared" si="453"/>
        <v>学前教育</v>
      </c>
      <c r="H1111" s="7" t="str">
        <f t="shared" si="454"/>
        <v>专科</v>
      </c>
      <c r="I1111" s="7" t="str">
        <f t="shared" si="445"/>
        <v>幼儿园教师资格</v>
      </c>
    </row>
    <row r="1112" customHeight="1" spans="1:9">
      <c r="A1112" s="6">
        <v>1110</v>
      </c>
      <c r="B1112" s="7" t="s">
        <v>11</v>
      </c>
      <c r="C1112" s="8" t="str">
        <f>"黄章华"</f>
        <v>黄章华</v>
      </c>
      <c r="D1112" s="8" t="str">
        <f t="shared" si="446"/>
        <v>女</v>
      </c>
      <c r="E1112" s="7" t="str">
        <f>"460006199311088121"</f>
        <v>460006199311088121</v>
      </c>
      <c r="F1112" s="7" t="str">
        <f t="shared" si="452"/>
        <v>琼台师范学院</v>
      </c>
      <c r="G1112" s="7" t="str">
        <f t="shared" si="453"/>
        <v>学前教育</v>
      </c>
      <c r="H1112" s="7" t="str">
        <f t="shared" si="454"/>
        <v>专科</v>
      </c>
      <c r="I1112" s="7" t="str">
        <f t="shared" si="445"/>
        <v>幼儿园教师资格</v>
      </c>
    </row>
    <row r="1113" customHeight="1" spans="1:9">
      <c r="A1113" s="6">
        <v>1111</v>
      </c>
      <c r="B1113" s="7" t="s">
        <v>10</v>
      </c>
      <c r="C1113" s="8" t="str">
        <f>"符芳娟"</f>
        <v>符芳娟</v>
      </c>
      <c r="D1113" s="8" t="str">
        <f t="shared" si="446"/>
        <v>女</v>
      </c>
      <c r="E1113" s="7" t="str">
        <f>"460002199705246625"</f>
        <v>460002199705246625</v>
      </c>
      <c r="F1113" s="7" t="str">
        <f>"江西科技学院"</f>
        <v>江西科技学院</v>
      </c>
      <c r="G1113" s="7" t="str">
        <f t="shared" si="453"/>
        <v>学前教育</v>
      </c>
      <c r="H1113" s="7" t="str">
        <f>"本科"</f>
        <v>本科</v>
      </c>
      <c r="I1113" s="7" t="str">
        <f t="shared" si="445"/>
        <v>幼儿园教师资格</v>
      </c>
    </row>
    <row r="1114" customHeight="1" spans="1:9">
      <c r="A1114" s="6">
        <v>1112</v>
      </c>
      <c r="B1114" s="7" t="s">
        <v>10</v>
      </c>
      <c r="C1114" s="8" t="str">
        <f>"郑新冰"</f>
        <v>郑新冰</v>
      </c>
      <c r="D1114" s="8" t="str">
        <f t="shared" si="446"/>
        <v>女</v>
      </c>
      <c r="E1114" s="7" t="str">
        <f>"460003199609200420"</f>
        <v>460003199609200420</v>
      </c>
      <c r="F1114" s="7" t="str">
        <f t="shared" ref="F1114:F1117" si="455">"琼台师范学院"</f>
        <v>琼台师范学院</v>
      </c>
      <c r="G1114" s="7" t="str">
        <f t="shared" si="453"/>
        <v>学前教育</v>
      </c>
      <c r="H1114" s="7" t="str">
        <f t="shared" ref="H1114:H1124" si="456">"专科"</f>
        <v>专科</v>
      </c>
      <c r="I1114" s="7" t="str">
        <f t="shared" si="445"/>
        <v>幼儿园教师资格</v>
      </c>
    </row>
    <row r="1115" customHeight="1" spans="1:9">
      <c r="A1115" s="6">
        <v>1113</v>
      </c>
      <c r="B1115" s="7" t="s">
        <v>12</v>
      </c>
      <c r="C1115" s="8" t="str">
        <f>"李玮"</f>
        <v>李玮</v>
      </c>
      <c r="D1115" s="8" t="str">
        <f t="shared" si="446"/>
        <v>女</v>
      </c>
      <c r="E1115" s="7" t="str">
        <f>"460003199611291624"</f>
        <v>460003199611291624</v>
      </c>
      <c r="F1115" s="7" t="str">
        <f t="shared" si="455"/>
        <v>琼台师范学院</v>
      </c>
      <c r="G1115" s="7" t="str">
        <f>"学前教育（英语方向）"</f>
        <v>学前教育（英语方向）</v>
      </c>
      <c r="H1115" s="7" t="str">
        <f t="shared" si="456"/>
        <v>专科</v>
      </c>
      <c r="I1115" s="7" t="str">
        <f t="shared" si="445"/>
        <v>幼儿园教师资格</v>
      </c>
    </row>
    <row r="1116" customHeight="1" spans="1:9">
      <c r="A1116" s="6">
        <v>1114</v>
      </c>
      <c r="B1116" s="7" t="s">
        <v>11</v>
      </c>
      <c r="C1116" s="8" t="str">
        <f>"王秀芬"</f>
        <v>王秀芬</v>
      </c>
      <c r="D1116" s="8" t="str">
        <f t="shared" si="446"/>
        <v>女</v>
      </c>
      <c r="E1116" s="7" t="str">
        <f>"460003199508173320"</f>
        <v>460003199508173320</v>
      </c>
      <c r="F1116" s="7" t="str">
        <f t="shared" si="455"/>
        <v>琼台师范学院</v>
      </c>
      <c r="G1116" s="7" t="str">
        <f t="shared" ref="G1116:G1126" si="457">"学前教育"</f>
        <v>学前教育</v>
      </c>
      <c r="H1116" s="7" t="str">
        <f t="shared" si="456"/>
        <v>专科</v>
      </c>
      <c r="I1116" s="7" t="str">
        <f t="shared" si="445"/>
        <v>幼儿园教师资格</v>
      </c>
    </row>
    <row r="1117" customHeight="1" spans="1:9">
      <c r="A1117" s="6">
        <v>1115</v>
      </c>
      <c r="B1117" s="7" t="s">
        <v>10</v>
      </c>
      <c r="C1117" s="8" t="str">
        <f>"云小雯"</f>
        <v>云小雯</v>
      </c>
      <c r="D1117" s="8" t="str">
        <f t="shared" si="446"/>
        <v>女</v>
      </c>
      <c r="E1117" s="7" t="str">
        <f>"460005199710232120"</f>
        <v>460005199710232120</v>
      </c>
      <c r="F1117" s="7" t="str">
        <f t="shared" si="455"/>
        <v>琼台师范学院</v>
      </c>
      <c r="G1117" s="7" t="str">
        <f t="shared" si="457"/>
        <v>学前教育</v>
      </c>
      <c r="H1117" s="7" t="str">
        <f t="shared" si="456"/>
        <v>专科</v>
      </c>
      <c r="I1117" s="7" t="str">
        <f t="shared" si="445"/>
        <v>幼儿园教师资格</v>
      </c>
    </row>
    <row r="1118" customHeight="1" spans="1:9">
      <c r="A1118" s="6">
        <v>1116</v>
      </c>
      <c r="B1118" s="7" t="s">
        <v>10</v>
      </c>
      <c r="C1118" s="8" t="str">
        <f>"冯蛟"</f>
        <v>冯蛟</v>
      </c>
      <c r="D1118" s="8" t="str">
        <f t="shared" si="446"/>
        <v>女</v>
      </c>
      <c r="E1118" s="7" t="str">
        <f>"532126199508212721"</f>
        <v>532126199508212721</v>
      </c>
      <c r="F1118" s="7" t="str">
        <f>"川南幼儿师范高等专科学校"</f>
        <v>川南幼儿师范高等专科学校</v>
      </c>
      <c r="G1118" s="7" t="str">
        <f t="shared" si="457"/>
        <v>学前教育</v>
      </c>
      <c r="H1118" s="7" t="str">
        <f t="shared" si="456"/>
        <v>专科</v>
      </c>
      <c r="I1118" s="7" t="str">
        <f t="shared" si="445"/>
        <v>幼儿园教师资格</v>
      </c>
    </row>
    <row r="1119" customHeight="1" spans="1:9">
      <c r="A1119" s="6">
        <v>1117</v>
      </c>
      <c r="B1119" s="7" t="s">
        <v>10</v>
      </c>
      <c r="C1119" s="8" t="str">
        <f>"曹星星"</f>
        <v>曹星星</v>
      </c>
      <c r="D1119" s="8" t="str">
        <f t="shared" si="446"/>
        <v>女</v>
      </c>
      <c r="E1119" s="7" t="str">
        <f>"460006199208026221"</f>
        <v>460006199208026221</v>
      </c>
      <c r="F1119" s="7" t="str">
        <f>"海南省海口市琼台师范高等专科学校"</f>
        <v>海南省海口市琼台师范高等专科学校</v>
      </c>
      <c r="G1119" s="7" t="str">
        <f t="shared" si="457"/>
        <v>学前教育</v>
      </c>
      <c r="H1119" s="7" t="str">
        <f t="shared" si="456"/>
        <v>专科</v>
      </c>
      <c r="I1119" s="7" t="str">
        <f t="shared" si="445"/>
        <v>幼儿园教师资格</v>
      </c>
    </row>
    <row r="1120" customHeight="1" spans="1:9">
      <c r="A1120" s="6">
        <v>1118</v>
      </c>
      <c r="B1120" s="7" t="s">
        <v>10</v>
      </c>
      <c r="C1120" s="8" t="str">
        <f>"廖鑫"</f>
        <v>廖鑫</v>
      </c>
      <c r="D1120" s="8" t="str">
        <f t="shared" si="446"/>
        <v>女</v>
      </c>
      <c r="E1120" s="7" t="str">
        <f>"430921199202146625"</f>
        <v>430921199202146625</v>
      </c>
      <c r="F1120" s="7" t="str">
        <f>"琼台师范高等专科学校幼儿师范学院"</f>
        <v>琼台师范高等专科学校幼儿师范学院</v>
      </c>
      <c r="G1120" s="7" t="str">
        <f t="shared" si="457"/>
        <v>学前教育</v>
      </c>
      <c r="H1120" s="7" t="str">
        <f t="shared" si="456"/>
        <v>专科</v>
      </c>
      <c r="I1120" s="7" t="str">
        <f t="shared" si="445"/>
        <v>幼儿园教师资格</v>
      </c>
    </row>
    <row r="1121" customHeight="1" spans="1:9">
      <c r="A1121" s="6">
        <v>1119</v>
      </c>
      <c r="B1121" s="7" t="s">
        <v>10</v>
      </c>
      <c r="C1121" s="8" t="str">
        <f>"罗梦妮"</f>
        <v>罗梦妮</v>
      </c>
      <c r="D1121" s="8" t="str">
        <f t="shared" si="446"/>
        <v>女</v>
      </c>
      <c r="E1121" s="7" t="str">
        <f>"460033199410207164"</f>
        <v>460033199410207164</v>
      </c>
      <c r="F1121" s="7" t="str">
        <f>"江西省萍乡学院"</f>
        <v>江西省萍乡学院</v>
      </c>
      <c r="G1121" s="7" t="str">
        <f t="shared" si="457"/>
        <v>学前教育</v>
      </c>
      <c r="H1121" s="7" t="str">
        <f t="shared" si="456"/>
        <v>专科</v>
      </c>
      <c r="I1121" s="7" t="str">
        <f t="shared" si="445"/>
        <v>幼儿园教师资格</v>
      </c>
    </row>
    <row r="1122" customHeight="1" spans="1:9">
      <c r="A1122" s="6">
        <v>1120</v>
      </c>
      <c r="B1122" s="7" t="s">
        <v>11</v>
      </c>
      <c r="C1122" s="8" t="str">
        <f>"陈旭"</f>
        <v>陈旭</v>
      </c>
      <c r="D1122" s="8" t="str">
        <f>"男"</f>
        <v>男</v>
      </c>
      <c r="E1122" s="7" t="str">
        <f>"460028199210246053"</f>
        <v>460028199210246053</v>
      </c>
      <c r="F1122" s="7" t="str">
        <f>"海南热带海洋学院"</f>
        <v>海南热带海洋学院</v>
      </c>
      <c r="G1122" s="7" t="str">
        <f t="shared" si="457"/>
        <v>学前教育</v>
      </c>
      <c r="H1122" s="7" t="str">
        <f t="shared" si="456"/>
        <v>专科</v>
      </c>
      <c r="I1122" s="7" t="str">
        <f t="shared" si="445"/>
        <v>幼儿园教师资格</v>
      </c>
    </row>
    <row r="1123" customHeight="1" spans="1:9">
      <c r="A1123" s="6">
        <v>1121</v>
      </c>
      <c r="B1123" s="7" t="s">
        <v>10</v>
      </c>
      <c r="C1123" s="8" t="str">
        <f>"陈婆花"</f>
        <v>陈婆花</v>
      </c>
      <c r="D1123" s="8" t="str">
        <f t="shared" ref="D1123:D1186" si="458">"女"</f>
        <v>女</v>
      </c>
      <c r="E1123" s="7" t="str">
        <f>"460003199603053220"</f>
        <v>460003199603053220</v>
      </c>
      <c r="F1123" s="7" t="str">
        <f t="shared" ref="F1123:F1127" si="459">"琼台师范学院"</f>
        <v>琼台师范学院</v>
      </c>
      <c r="G1123" s="7" t="str">
        <f t="shared" si="457"/>
        <v>学前教育</v>
      </c>
      <c r="H1123" s="7" t="str">
        <f t="shared" si="456"/>
        <v>专科</v>
      </c>
      <c r="I1123" s="7" t="str">
        <f t="shared" si="445"/>
        <v>幼儿园教师资格</v>
      </c>
    </row>
    <row r="1124" customHeight="1" spans="1:9">
      <c r="A1124" s="6">
        <v>1122</v>
      </c>
      <c r="B1124" s="7" t="s">
        <v>11</v>
      </c>
      <c r="C1124" s="8" t="str">
        <f>"陈艳"</f>
        <v>陈艳</v>
      </c>
      <c r="D1124" s="8" t="str">
        <f t="shared" si="458"/>
        <v>女</v>
      </c>
      <c r="E1124" s="7" t="str">
        <f>"460028199707016069"</f>
        <v>460028199707016069</v>
      </c>
      <c r="F1124" s="7" t="str">
        <f t="shared" si="459"/>
        <v>琼台师范学院</v>
      </c>
      <c r="G1124" s="7" t="str">
        <f t="shared" si="457"/>
        <v>学前教育</v>
      </c>
      <c r="H1124" s="7" t="str">
        <f t="shared" si="456"/>
        <v>专科</v>
      </c>
      <c r="I1124" s="7" t="str">
        <f t="shared" si="445"/>
        <v>幼儿园教师资格</v>
      </c>
    </row>
    <row r="1125" customHeight="1" spans="1:9">
      <c r="A1125" s="6">
        <v>1123</v>
      </c>
      <c r="B1125" s="7" t="s">
        <v>11</v>
      </c>
      <c r="C1125" s="8" t="str">
        <f>"陈少霞"</f>
        <v>陈少霞</v>
      </c>
      <c r="D1125" s="8" t="str">
        <f t="shared" si="458"/>
        <v>女</v>
      </c>
      <c r="E1125" s="7" t="str">
        <f>"460004199402212420"</f>
        <v>460004199402212420</v>
      </c>
      <c r="F1125" s="7" t="str">
        <f>"曲靖师范学院"</f>
        <v>曲靖师范学院</v>
      </c>
      <c r="G1125" s="7" t="str">
        <f t="shared" si="457"/>
        <v>学前教育</v>
      </c>
      <c r="H1125" s="7" t="str">
        <f>"本科"</f>
        <v>本科</v>
      </c>
      <c r="I1125" s="7" t="str">
        <f t="shared" si="445"/>
        <v>幼儿园教师资格</v>
      </c>
    </row>
    <row r="1126" customHeight="1" spans="1:9">
      <c r="A1126" s="6">
        <v>1124</v>
      </c>
      <c r="B1126" s="7" t="s">
        <v>10</v>
      </c>
      <c r="C1126" s="8" t="str">
        <f>"黄小雅"</f>
        <v>黄小雅</v>
      </c>
      <c r="D1126" s="8" t="str">
        <f t="shared" si="458"/>
        <v>女</v>
      </c>
      <c r="E1126" s="7" t="str">
        <f>"460034199308223025"</f>
        <v>460034199308223025</v>
      </c>
      <c r="F1126" s="7" t="str">
        <f>"琼台师范高等专科学校"</f>
        <v>琼台师范高等专科学校</v>
      </c>
      <c r="G1126" s="7" t="str">
        <f t="shared" si="457"/>
        <v>学前教育</v>
      </c>
      <c r="H1126" s="7" t="str">
        <f t="shared" ref="H1126:H1128" si="460">"专科"</f>
        <v>专科</v>
      </c>
      <c r="I1126" s="7" t="str">
        <f t="shared" si="445"/>
        <v>幼儿园教师资格</v>
      </c>
    </row>
    <row r="1127" customHeight="1" spans="1:9">
      <c r="A1127" s="6">
        <v>1125</v>
      </c>
      <c r="B1127" s="7" t="s">
        <v>10</v>
      </c>
      <c r="C1127" s="8" t="str">
        <f>"彭慧梅"</f>
        <v>彭慧梅</v>
      </c>
      <c r="D1127" s="8" t="str">
        <f t="shared" si="458"/>
        <v>女</v>
      </c>
      <c r="E1127" s="7" t="str">
        <f>"460034199601075527"</f>
        <v>460034199601075527</v>
      </c>
      <c r="F1127" s="7" t="str">
        <f t="shared" si="459"/>
        <v>琼台师范学院</v>
      </c>
      <c r="G1127" s="7" t="str">
        <f>"学前教育（英语方向）"</f>
        <v>学前教育（英语方向）</v>
      </c>
      <c r="H1127" s="7" t="str">
        <f t="shared" si="460"/>
        <v>专科</v>
      </c>
      <c r="I1127" s="7" t="str">
        <f t="shared" si="445"/>
        <v>幼儿园教师资格</v>
      </c>
    </row>
    <row r="1128" customHeight="1" spans="1:9">
      <c r="A1128" s="6">
        <v>1126</v>
      </c>
      <c r="B1128" s="7" t="s">
        <v>12</v>
      </c>
      <c r="C1128" s="8" t="str">
        <f>"林有妹"</f>
        <v>林有妹</v>
      </c>
      <c r="D1128" s="8" t="str">
        <f t="shared" si="458"/>
        <v>女</v>
      </c>
      <c r="E1128" s="7" t="str">
        <f>"460003199309234442"</f>
        <v>460003199309234442</v>
      </c>
      <c r="F1128" s="7" t="str">
        <f>"琼州学院"</f>
        <v>琼州学院</v>
      </c>
      <c r="G1128" s="7" t="str">
        <f t="shared" ref="G1128:G1134" si="461">"学前教育"</f>
        <v>学前教育</v>
      </c>
      <c r="H1128" s="7" t="str">
        <f t="shared" si="460"/>
        <v>专科</v>
      </c>
      <c r="I1128" s="7" t="str">
        <f t="shared" si="445"/>
        <v>幼儿园教师资格</v>
      </c>
    </row>
    <row r="1129" customHeight="1" spans="1:9">
      <c r="A1129" s="6">
        <v>1127</v>
      </c>
      <c r="B1129" s="7" t="s">
        <v>12</v>
      </c>
      <c r="C1129" s="8" t="str">
        <f>"邢丽娟"</f>
        <v>邢丽娟</v>
      </c>
      <c r="D1129" s="8" t="str">
        <f t="shared" si="458"/>
        <v>女</v>
      </c>
      <c r="E1129" s="7" t="str">
        <f>"46000519980114322X"</f>
        <v>46000519980114322X</v>
      </c>
      <c r="F1129" s="7" t="str">
        <f t="shared" ref="F1129:F1135" si="462">"琼台师范学院"</f>
        <v>琼台师范学院</v>
      </c>
      <c r="G1129" s="7" t="str">
        <f t="shared" si="461"/>
        <v>学前教育</v>
      </c>
      <c r="H1129" s="7" t="str">
        <f>"专科(高职)"</f>
        <v>专科(高职)</v>
      </c>
      <c r="I1129" s="7" t="str">
        <f t="shared" si="445"/>
        <v>幼儿园教师资格</v>
      </c>
    </row>
    <row r="1130" customHeight="1" spans="1:9">
      <c r="A1130" s="6">
        <v>1128</v>
      </c>
      <c r="B1130" s="7" t="s">
        <v>11</v>
      </c>
      <c r="C1130" s="8" t="str">
        <f>"刘春蕊"</f>
        <v>刘春蕊</v>
      </c>
      <c r="D1130" s="8" t="str">
        <f t="shared" si="458"/>
        <v>女</v>
      </c>
      <c r="E1130" s="7" t="str">
        <f>"460034198911170023"</f>
        <v>460034198911170023</v>
      </c>
      <c r="F1130" s="7" t="str">
        <f>"琼台师范高等专科学校"</f>
        <v>琼台师范高等专科学校</v>
      </c>
      <c r="G1130" s="7" t="str">
        <f t="shared" si="461"/>
        <v>学前教育</v>
      </c>
      <c r="H1130" s="7" t="str">
        <f t="shared" ref="H1130:H1136" si="463">"专科"</f>
        <v>专科</v>
      </c>
      <c r="I1130" s="7" t="str">
        <f t="shared" si="445"/>
        <v>幼儿园教师资格</v>
      </c>
    </row>
    <row r="1131" customHeight="1" spans="1:9">
      <c r="A1131" s="6">
        <v>1129</v>
      </c>
      <c r="B1131" s="7" t="s">
        <v>10</v>
      </c>
      <c r="C1131" s="8" t="str">
        <f>"林海英"</f>
        <v>林海英</v>
      </c>
      <c r="D1131" s="8" t="str">
        <f t="shared" si="458"/>
        <v>女</v>
      </c>
      <c r="E1131" s="7" t="str">
        <f>"460027199708018246"</f>
        <v>460027199708018246</v>
      </c>
      <c r="F1131" s="7" t="str">
        <f t="shared" si="462"/>
        <v>琼台师范学院</v>
      </c>
      <c r="G1131" s="7" t="str">
        <f t="shared" si="461"/>
        <v>学前教育</v>
      </c>
      <c r="H1131" s="7" t="str">
        <f>"专科(高职)"</f>
        <v>专科(高职)</v>
      </c>
      <c r="I1131" s="7" t="str">
        <f t="shared" si="445"/>
        <v>幼儿园教师资格</v>
      </c>
    </row>
    <row r="1132" customHeight="1" spans="1:9">
      <c r="A1132" s="6">
        <v>1130</v>
      </c>
      <c r="B1132" s="7" t="s">
        <v>11</v>
      </c>
      <c r="C1132" s="8" t="str">
        <f>"王康旎"</f>
        <v>王康旎</v>
      </c>
      <c r="D1132" s="8" t="str">
        <f t="shared" si="458"/>
        <v>女</v>
      </c>
      <c r="E1132" s="7" t="str">
        <f>"460034199712155327"</f>
        <v>460034199712155327</v>
      </c>
      <c r="F1132" s="7" t="str">
        <f>"荆楚理工学院"</f>
        <v>荆楚理工学院</v>
      </c>
      <c r="G1132" s="7" t="str">
        <f t="shared" si="461"/>
        <v>学前教育</v>
      </c>
      <c r="H1132" s="7" t="str">
        <f>"本科"</f>
        <v>本科</v>
      </c>
      <c r="I1132" s="7" t="str">
        <f t="shared" si="445"/>
        <v>幼儿园教师资格</v>
      </c>
    </row>
    <row r="1133" customHeight="1" spans="1:9">
      <c r="A1133" s="6">
        <v>1131</v>
      </c>
      <c r="B1133" s="7" t="s">
        <v>12</v>
      </c>
      <c r="C1133" s="8" t="str">
        <f>"符丹慧"</f>
        <v>符丹慧</v>
      </c>
      <c r="D1133" s="8" t="str">
        <f t="shared" si="458"/>
        <v>女</v>
      </c>
      <c r="E1133" s="7" t="str">
        <f>"460003199401172045"</f>
        <v>460003199401172045</v>
      </c>
      <c r="F1133" s="7" t="str">
        <f>"海南师范大学"</f>
        <v>海南师范大学</v>
      </c>
      <c r="G1133" s="7" t="str">
        <f t="shared" si="461"/>
        <v>学前教育</v>
      </c>
      <c r="H1133" s="7" t="str">
        <f t="shared" si="463"/>
        <v>专科</v>
      </c>
      <c r="I1133" s="7" t="str">
        <f t="shared" si="445"/>
        <v>幼儿园教师资格</v>
      </c>
    </row>
    <row r="1134" customHeight="1" spans="1:9">
      <c r="A1134" s="6">
        <v>1132</v>
      </c>
      <c r="B1134" s="7" t="s">
        <v>11</v>
      </c>
      <c r="C1134" s="8" t="str">
        <f>"邢丽影"</f>
        <v>邢丽影</v>
      </c>
      <c r="D1134" s="8" t="str">
        <f t="shared" si="458"/>
        <v>女</v>
      </c>
      <c r="E1134" s="7" t="str">
        <f>"46000519981003392X"</f>
        <v>46000519981003392X</v>
      </c>
      <c r="F1134" s="7" t="str">
        <f t="shared" si="462"/>
        <v>琼台师范学院</v>
      </c>
      <c r="G1134" s="7" t="str">
        <f t="shared" si="461"/>
        <v>学前教育</v>
      </c>
      <c r="H1134" s="7" t="str">
        <f t="shared" si="463"/>
        <v>专科</v>
      </c>
      <c r="I1134" s="7" t="str">
        <f t="shared" si="445"/>
        <v>幼儿园教师资格</v>
      </c>
    </row>
    <row r="1135" customHeight="1" spans="1:9">
      <c r="A1135" s="6">
        <v>1133</v>
      </c>
      <c r="B1135" s="7" t="s">
        <v>11</v>
      </c>
      <c r="C1135" s="8" t="str">
        <f>"王林巧"</f>
        <v>王林巧</v>
      </c>
      <c r="D1135" s="8" t="str">
        <f t="shared" si="458"/>
        <v>女</v>
      </c>
      <c r="E1135" s="7" t="str">
        <f>"46002819980624442X"</f>
        <v>46002819980624442X</v>
      </c>
      <c r="F1135" s="7" t="str">
        <f t="shared" si="462"/>
        <v>琼台师范学院</v>
      </c>
      <c r="G1135" s="7" t="str">
        <f t="shared" ref="G1135:G1139" si="464">"学前教育专业"</f>
        <v>学前教育专业</v>
      </c>
      <c r="H1135" s="7" t="str">
        <f t="shared" si="463"/>
        <v>专科</v>
      </c>
      <c r="I1135" s="7" t="str">
        <f t="shared" si="445"/>
        <v>幼儿园教师资格</v>
      </c>
    </row>
    <row r="1136" customHeight="1" spans="1:9">
      <c r="A1136" s="6">
        <v>1134</v>
      </c>
      <c r="B1136" s="7" t="s">
        <v>11</v>
      </c>
      <c r="C1136" s="8" t="str">
        <f>"钟圣婷"</f>
        <v>钟圣婷</v>
      </c>
      <c r="D1136" s="8" t="str">
        <f t="shared" si="458"/>
        <v>女</v>
      </c>
      <c r="E1136" s="7" t="str">
        <f>"460007199206207244"</f>
        <v>460007199206207244</v>
      </c>
      <c r="F1136" s="7" t="str">
        <f>"湖北省江汉艺术职业学院"</f>
        <v>湖北省江汉艺术职业学院</v>
      </c>
      <c r="G1136" s="7" t="str">
        <f t="shared" ref="G1136:G1140" si="465">"学前教育"</f>
        <v>学前教育</v>
      </c>
      <c r="H1136" s="7" t="str">
        <f t="shared" si="463"/>
        <v>专科</v>
      </c>
      <c r="I1136" s="7" t="str">
        <f t="shared" si="445"/>
        <v>幼儿园教师资格</v>
      </c>
    </row>
    <row r="1137" customHeight="1" spans="1:9">
      <c r="A1137" s="6">
        <v>1135</v>
      </c>
      <c r="B1137" s="7" t="s">
        <v>11</v>
      </c>
      <c r="C1137" s="8" t="str">
        <f>"薛显香"</f>
        <v>薛显香</v>
      </c>
      <c r="D1137" s="8" t="str">
        <f t="shared" si="458"/>
        <v>女</v>
      </c>
      <c r="E1137" s="7" t="str">
        <f>"469003199403155028"</f>
        <v>469003199403155028</v>
      </c>
      <c r="F1137" s="7" t="str">
        <f>"荆楚理工学院"</f>
        <v>荆楚理工学院</v>
      </c>
      <c r="G1137" s="7" t="str">
        <f t="shared" si="464"/>
        <v>学前教育专业</v>
      </c>
      <c r="H1137" s="7" t="str">
        <f>"本科"</f>
        <v>本科</v>
      </c>
      <c r="I1137" s="7" t="str">
        <f t="shared" si="445"/>
        <v>幼儿园教师资格</v>
      </c>
    </row>
    <row r="1138" customHeight="1" spans="1:9">
      <c r="A1138" s="6">
        <v>1136</v>
      </c>
      <c r="B1138" s="7" t="s">
        <v>11</v>
      </c>
      <c r="C1138" s="8" t="str">
        <f>"陈丽英"</f>
        <v>陈丽英</v>
      </c>
      <c r="D1138" s="8" t="str">
        <f t="shared" si="458"/>
        <v>女</v>
      </c>
      <c r="E1138" s="7" t="str">
        <f>"460102199505282424"</f>
        <v>460102199505282424</v>
      </c>
      <c r="F1138" s="7" t="str">
        <f>"琼台师范学院"</f>
        <v>琼台师范学院</v>
      </c>
      <c r="G1138" s="7" t="str">
        <f t="shared" si="465"/>
        <v>学前教育</v>
      </c>
      <c r="H1138" s="7" t="str">
        <f t="shared" ref="H1138:H1145" si="466">"专科"</f>
        <v>专科</v>
      </c>
      <c r="I1138" s="7" t="str">
        <f t="shared" si="445"/>
        <v>幼儿园教师资格</v>
      </c>
    </row>
    <row r="1139" customHeight="1" spans="1:9">
      <c r="A1139" s="6">
        <v>1137</v>
      </c>
      <c r="B1139" s="7" t="s">
        <v>10</v>
      </c>
      <c r="C1139" s="8" t="str">
        <f>"吴青越"</f>
        <v>吴青越</v>
      </c>
      <c r="D1139" s="8" t="str">
        <f t="shared" si="458"/>
        <v>女</v>
      </c>
      <c r="E1139" s="7" t="str">
        <f>"460006199606044425"</f>
        <v>460006199606044425</v>
      </c>
      <c r="F1139" s="7" t="str">
        <f>"海南热带海洋学院"</f>
        <v>海南热带海洋学院</v>
      </c>
      <c r="G1139" s="7" t="str">
        <f t="shared" si="464"/>
        <v>学前教育专业</v>
      </c>
      <c r="H1139" s="7" t="str">
        <f t="shared" si="466"/>
        <v>专科</v>
      </c>
      <c r="I1139" s="7" t="str">
        <f t="shared" si="445"/>
        <v>幼儿园教师资格</v>
      </c>
    </row>
    <row r="1140" customHeight="1" spans="1:9">
      <c r="A1140" s="6">
        <v>1138</v>
      </c>
      <c r="B1140" s="7" t="s">
        <v>12</v>
      </c>
      <c r="C1140" s="8" t="str">
        <f>"符长丹"</f>
        <v>符长丹</v>
      </c>
      <c r="D1140" s="8" t="str">
        <f t="shared" si="458"/>
        <v>女</v>
      </c>
      <c r="E1140" s="7" t="str">
        <f>"460003199306124061"</f>
        <v>460003199306124061</v>
      </c>
      <c r="F1140" s="7" t="str">
        <f>"海南师范大学"</f>
        <v>海南师范大学</v>
      </c>
      <c r="G1140" s="7" t="str">
        <f t="shared" si="465"/>
        <v>学前教育</v>
      </c>
      <c r="H1140" s="7" t="str">
        <f t="shared" si="466"/>
        <v>专科</v>
      </c>
      <c r="I1140" s="7" t="str">
        <f t="shared" si="445"/>
        <v>幼儿园教师资格</v>
      </c>
    </row>
    <row r="1141" customHeight="1" spans="1:9">
      <c r="A1141" s="6">
        <v>1139</v>
      </c>
      <c r="B1141" s="7" t="s">
        <v>11</v>
      </c>
      <c r="C1141" s="8" t="str">
        <f>"王燕"</f>
        <v>王燕</v>
      </c>
      <c r="D1141" s="8" t="str">
        <f t="shared" si="458"/>
        <v>女</v>
      </c>
      <c r="E1141" s="7" t="str">
        <f>"460026199512120920"</f>
        <v>460026199512120920</v>
      </c>
      <c r="F1141" s="7" t="str">
        <f>"琼台师范学院"</f>
        <v>琼台师范学院</v>
      </c>
      <c r="G1141" s="7" t="str">
        <f>"学前教育(英语方向)"</f>
        <v>学前教育(英语方向)</v>
      </c>
      <c r="H1141" s="7" t="str">
        <f t="shared" si="466"/>
        <v>专科</v>
      </c>
      <c r="I1141" s="7" t="str">
        <f t="shared" si="445"/>
        <v>幼儿园教师资格</v>
      </c>
    </row>
    <row r="1142" customHeight="1" spans="1:9">
      <c r="A1142" s="6">
        <v>1140</v>
      </c>
      <c r="B1142" s="7" t="s">
        <v>10</v>
      </c>
      <c r="C1142" s="8" t="str">
        <f>"李霞丹"</f>
        <v>李霞丹</v>
      </c>
      <c r="D1142" s="8" t="str">
        <f t="shared" si="458"/>
        <v>女</v>
      </c>
      <c r="E1142" s="7" t="str">
        <f>"460003199310055660"</f>
        <v>460003199310055660</v>
      </c>
      <c r="F1142" s="7" t="str">
        <f>"海南省琼台师范高等专科学校"</f>
        <v>海南省琼台师范高等专科学校</v>
      </c>
      <c r="G1142" s="7" t="str">
        <f t="shared" ref="G1142:G1145" si="467">"学前教育"</f>
        <v>学前教育</v>
      </c>
      <c r="H1142" s="7" t="str">
        <f t="shared" si="466"/>
        <v>专科</v>
      </c>
      <c r="I1142" s="7" t="str">
        <f t="shared" si="445"/>
        <v>幼儿园教师资格</v>
      </c>
    </row>
    <row r="1143" customHeight="1" spans="1:9">
      <c r="A1143" s="6">
        <v>1141</v>
      </c>
      <c r="B1143" s="7" t="s">
        <v>12</v>
      </c>
      <c r="C1143" s="8" t="str">
        <f>"黄春明"</f>
        <v>黄春明</v>
      </c>
      <c r="D1143" s="8" t="str">
        <f t="shared" si="458"/>
        <v>女</v>
      </c>
      <c r="E1143" s="7" t="str">
        <f>"460025199610123344"</f>
        <v>460025199610123344</v>
      </c>
      <c r="F1143" s="7" t="str">
        <f>"海南热带海洋学院"</f>
        <v>海南热带海洋学院</v>
      </c>
      <c r="G1143" s="7" t="str">
        <f>"学前教育（英语方向）"</f>
        <v>学前教育（英语方向）</v>
      </c>
      <c r="H1143" s="7" t="str">
        <f t="shared" si="466"/>
        <v>专科</v>
      </c>
      <c r="I1143" s="7" t="str">
        <f t="shared" si="445"/>
        <v>幼儿园教师资格</v>
      </c>
    </row>
    <row r="1144" customHeight="1" spans="1:9">
      <c r="A1144" s="6">
        <v>1142</v>
      </c>
      <c r="B1144" s="7" t="s">
        <v>10</v>
      </c>
      <c r="C1144" s="8" t="str">
        <f>"柯春意"</f>
        <v>柯春意</v>
      </c>
      <c r="D1144" s="8" t="str">
        <f t="shared" si="458"/>
        <v>女</v>
      </c>
      <c r="E1144" s="7" t="str">
        <f>"460028199207062421"</f>
        <v>460028199207062421</v>
      </c>
      <c r="F1144" s="7" t="str">
        <f>"琼台师范学院"</f>
        <v>琼台师范学院</v>
      </c>
      <c r="G1144" s="7" t="str">
        <f t="shared" si="467"/>
        <v>学前教育</v>
      </c>
      <c r="H1144" s="7" t="str">
        <f t="shared" si="466"/>
        <v>专科</v>
      </c>
      <c r="I1144" s="7" t="str">
        <f t="shared" si="445"/>
        <v>幼儿园教师资格</v>
      </c>
    </row>
    <row r="1145" customHeight="1" spans="1:9">
      <c r="A1145" s="6">
        <v>1143</v>
      </c>
      <c r="B1145" s="7" t="s">
        <v>12</v>
      </c>
      <c r="C1145" s="8" t="str">
        <f>"赵凤菊"</f>
        <v>赵凤菊</v>
      </c>
      <c r="D1145" s="8" t="str">
        <f t="shared" si="458"/>
        <v>女</v>
      </c>
      <c r="E1145" s="7" t="str">
        <f>"460003199212072029"</f>
        <v>460003199212072029</v>
      </c>
      <c r="F1145" s="7" t="str">
        <f>"梧州学院"</f>
        <v>梧州学院</v>
      </c>
      <c r="G1145" s="7" t="str">
        <f t="shared" si="467"/>
        <v>学前教育</v>
      </c>
      <c r="H1145" s="7" t="str">
        <f t="shared" si="466"/>
        <v>专科</v>
      </c>
      <c r="I1145" s="7" t="str">
        <f t="shared" si="445"/>
        <v>幼儿园教师资格</v>
      </c>
    </row>
    <row r="1146" customHeight="1" spans="1:9">
      <c r="A1146" s="6">
        <v>1144</v>
      </c>
      <c r="B1146" s="7" t="s">
        <v>12</v>
      </c>
      <c r="C1146" s="8" t="str">
        <f>"陈娇"</f>
        <v>陈娇</v>
      </c>
      <c r="D1146" s="8" t="str">
        <f t="shared" si="458"/>
        <v>女</v>
      </c>
      <c r="E1146" s="7" t="str">
        <f>"469023199406070404"</f>
        <v>469023199406070404</v>
      </c>
      <c r="F1146" s="7" t="str">
        <f>"琼台师范高等专科学校"</f>
        <v>琼台师范高等专科学校</v>
      </c>
      <c r="G1146" s="7" t="str">
        <f>"学前教育（中师）"</f>
        <v>学前教育（中师）</v>
      </c>
      <c r="H1146" s="12" t="s">
        <v>13</v>
      </c>
      <c r="I1146" s="7" t="str">
        <f t="shared" si="445"/>
        <v>幼儿园教师资格</v>
      </c>
    </row>
    <row r="1147" customHeight="1" spans="1:9">
      <c r="A1147" s="6">
        <v>1145</v>
      </c>
      <c r="B1147" s="7" t="s">
        <v>11</v>
      </c>
      <c r="C1147" s="8" t="str">
        <f>"谢燕琼"</f>
        <v>谢燕琼</v>
      </c>
      <c r="D1147" s="8" t="str">
        <f t="shared" si="458"/>
        <v>女</v>
      </c>
      <c r="E1147" s="7" t="str">
        <f>"460006199612103145"</f>
        <v>460006199612103145</v>
      </c>
      <c r="F1147" s="7" t="str">
        <f>"江西科技学院"</f>
        <v>江西科技学院</v>
      </c>
      <c r="G1147" s="7" t="str">
        <f t="shared" ref="G1147:G1151" si="468">"学前教育"</f>
        <v>学前教育</v>
      </c>
      <c r="H1147" s="7" t="str">
        <f t="shared" ref="H1147:H1151" si="469">"本科"</f>
        <v>本科</v>
      </c>
      <c r="I1147" s="7" t="str">
        <f t="shared" si="445"/>
        <v>幼儿园教师资格</v>
      </c>
    </row>
    <row r="1148" customHeight="1" spans="1:9">
      <c r="A1148" s="6">
        <v>1146</v>
      </c>
      <c r="B1148" s="7" t="s">
        <v>11</v>
      </c>
      <c r="C1148" s="8" t="str">
        <f>"黄梦如"</f>
        <v>黄梦如</v>
      </c>
      <c r="D1148" s="8" t="str">
        <f t="shared" si="458"/>
        <v>女</v>
      </c>
      <c r="E1148" s="7" t="str">
        <f>"460035199409211126"</f>
        <v>460035199409211126</v>
      </c>
      <c r="F1148" s="7" t="str">
        <f>"海口市海南师范大学"</f>
        <v>海口市海南师范大学</v>
      </c>
      <c r="G1148" s="7" t="str">
        <f t="shared" si="468"/>
        <v>学前教育</v>
      </c>
      <c r="H1148" s="7" t="str">
        <f t="shared" si="469"/>
        <v>本科</v>
      </c>
      <c r="I1148" s="7" t="str">
        <f t="shared" si="445"/>
        <v>幼儿园教师资格</v>
      </c>
    </row>
    <row r="1149" customHeight="1" spans="1:9">
      <c r="A1149" s="6">
        <v>1147</v>
      </c>
      <c r="B1149" s="7" t="s">
        <v>10</v>
      </c>
      <c r="C1149" s="8" t="str">
        <f>"陈慧芬"</f>
        <v>陈慧芬</v>
      </c>
      <c r="D1149" s="8" t="str">
        <f t="shared" si="458"/>
        <v>女</v>
      </c>
      <c r="E1149" s="7" t="str">
        <f>"460004199605216026"</f>
        <v>460004199605216026</v>
      </c>
      <c r="F1149" s="7" t="str">
        <f>"海南热带海洋学院"</f>
        <v>海南热带海洋学院</v>
      </c>
      <c r="G1149" s="7" t="str">
        <f t="shared" si="468"/>
        <v>学前教育</v>
      </c>
      <c r="H1149" s="7" t="str">
        <f t="shared" ref="H1149:H1154" si="470">"专科"</f>
        <v>专科</v>
      </c>
      <c r="I1149" s="7" t="str">
        <f t="shared" si="445"/>
        <v>幼儿园教师资格</v>
      </c>
    </row>
    <row r="1150" customHeight="1" spans="1:9">
      <c r="A1150" s="6">
        <v>1148</v>
      </c>
      <c r="B1150" s="7" t="s">
        <v>10</v>
      </c>
      <c r="C1150" s="8" t="str">
        <f>"高冬利"</f>
        <v>高冬利</v>
      </c>
      <c r="D1150" s="8" t="str">
        <f t="shared" si="458"/>
        <v>女</v>
      </c>
      <c r="E1150" s="7" t="str">
        <f>"460003199609272248"</f>
        <v>460003199609272248</v>
      </c>
      <c r="F1150" s="7" t="str">
        <f>"海口市琼台师范学院"</f>
        <v>海口市琼台师范学院</v>
      </c>
      <c r="G1150" s="7" t="str">
        <f t="shared" si="468"/>
        <v>学前教育</v>
      </c>
      <c r="H1150" s="7" t="str">
        <f t="shared" si="470"/>
        <v>专科</v>
      </c>
      <c r="I1150" s="7" t="str">
        <f t="shared" si="445"/>
        <v>幼儿园教师资格</v>
      </c>
    </row>
    <row r="1151" customHeight="1" spans="1:9">
      <c r="A1151" s="6">
        <v>1149</v>
      </c>
      <c r="B1151" s="7" t="s">
        <v>10</v>
      </c>
      <c r="C1151" s="8" t="str">
        <f>"钟尊绵"</f>
        <v>钟尊绵</v>
      </c>
      <c r="D1151" s="8" t="str">
        <f t="shared" si="458"/>
        <v>女</v>
      </c>
      <c r="E1151" s="7" t="str">
        <f>"460031199311225225"</f>
        <v>460031199311225225</v>
      </c>
      <c r="F1151" s="7" t="str">
        <f>"海南师范大学"</f>
        <v>海南师范大学</v>
      </c>
      <c r="G1151" s="7" t="str">
        <f t="shared" si="468"/>
        <v>学前教育</v>
      </c>
      <c r="H1151" s="7" t="str">
        <f t="shared" si="469"/>
        <v>本科</v>
      </c>
      <c r="I1151" s="7" t="str">
        <f t="shared" si="445"/>
        <v>幼儿园教师资格</v>
      </c>
    </row>
    <row r="1152" customHeight="1" spans="1:9">
      <c r="A1152" s="6">
        <v>1150</v>
      </c>
      <c r="B1152" s="7" t="s">
        <v>11</v>
      </c>
      <c r="C1152" s="8" t="str">
        <f>"王会莉"</f>
        <v>王会莉</v>
      </c>
      <c r="D1152" s="8" t="str">
        <f t="shared" si="458"/>
        <v>女</v>
      </c>
      <c r="E1152" s="7" t="str">
        <f>"460028199401067226"</f>
        <v>460028199401067226</v>
      </c>
      <c r="F1152" s="7" t="str">
        <f>"海南热带海洋学院"</f>
        <v>海南热带海洋学院</v>
      </c>
      <c r="G1152" s="7" t="str">
        <f>"学前教育（语文方向）"</f>
        <v>学前教育（语文方向）</v>
      </c>
      <c r="H1152" s="7" t="str">
        <f t="shared" si="470"/>
        <v>专科</v>
      </c>
      <c r="I1152" s="7" t="str">
        <f t="shared" si="445"/>
        <v>幼儿园教师资格</v>
      </c>
    </row>
    <row r="1153" customHeight="1" spans="1:9">
      <c r="A1153" s="6">
        <v>1151</v>
      </c>
      <c r="B1153" s="7" t="s">
        <v>12</v>
      </c>
      <c r="C1153" s="8" t="str">
        <f>"王元妹"</f>
        <v>王元妹</v>
      </c>
      <c r="D1153" s="8" t="str">
        <f t="shared" si="458"/>
        <v>女</v>
      </c>
      <c r="E1153" s="7" t="str">
        <f>"469003199209205626"</f>
        <v>469003199209205626</v>
      </c>
      <c r="F1153" s="7" t="str">
        <f>"琼台师范学院"</f>
        <v>琼台师范学院</v>
      </c>
      <c r="G1153" s="7" t="str">
        <f t="shared" ref="G1153:G1163" si="471">"学前教育"</f>
        <v>学前教育</v>
      </c>
      <c r="H1153" s="7" t="str">
        <f t="shared" si="470"/>
        <v>专科</v>
      </c>
      <c r="I1153" s="7" t="str">
        <f t="shared" ref="I1153:I1216" si="472">"幼儿园教师资格"</f>
        <v>幼儿园教师资格</v>
      </c>
    </row>
    <row r="1154" customHeight="1" spans="1:9">
      <c r="A1154" s="6">
        <v>1152</v>
      </c>
      <c r="B1154" s="7" t="s">
        <v>11</v>
      </c>
      <c r="C1154" s="8" t="str">
        <f>"莫小萍"</f>
        <v>莫小萍</v>
      </c>
      <c r="D1154" s="8" t="str">
        <f t="shared" si="458"/>
        <v>女</v>
      </c>
      <c r="E1154" s="7" t="str">
        <f>"46002519950823032X"</f>
        <v>46002519950823032X</v>
      </c>
      <c r="F1154" s="7" t="str">
        <f>"湖南师范大学"</f>
        <v>湖南师范大学</v>
      </c>
      <c r="G1154" s="7" t="str">
        <f t="shared" si="471"/>
        <v>学前教育</v>
      </c>
      <c r="H1154" s="7" t="str">
        <f t="shared" si="470"/>
        <v>专科</v>
      </c>
      <c r="I1154" s="7" t="str">
        <f t="shared" si="472"/>
        <v>幼儿园教师资格</v>
      </c>
    </row>
    <row r="1155" customHeight="1" spans="1:9">
      <c r="A1155" s="6">
        <v>1153</v>
      </c>
      <c r="B1155" s="7" t="s">
        <v>12</v>
      </c>
      <c r="C1155" s="8" t="str">
        <f>"罗自珍"</f>
        <v>罗自珍</v>
      </c>
      <c r="D1155" s="8" t="str">
        <f t="shared" si="458"/>
        <v>女</v>
      </c>
      <c r="E1155" s="7" t="str">
        <f>"460033199303044849"</f>
        <v>460033199303044849</v>
      </c>
      <c r="F1155" s="7" t="str">
        <f>"山西省忻州师范学院"</f>
        <v>山西省忻州师范学院</v>
      </c>
      <c r="G1155" s="7" t="str">
        <f t="shared" si="471"/>
        <v>学前教育</v>
      </c>
      <c r="H1155" s="7" t="str">
        <f>"本科"</f>
        <v>本科</v>
      </c>
      <c r="I1155" s="7" t="str">
        <f t="shared" si="472"/>
        <v>幼儿园教师资格</v>
      </c>
    </row>
    <row r="1156" customHeight="1" spans="1:9">
      <c r="A1156" s="6">
        <v>1154</v>
      </c>
      <c r="B1156" s="7" t="s">
        <v>12</v>
      </c>
      <c r="C1156" s="8" t="str">
        <f>"黎爱女"</f>
        <v>黎爱女</v>
      </c>
      <c r="D1156" s="8" t="str">
        <f t="shared" si="458"/>
        <v>女</v>
      </c>
      <c r="E1156" s="7" t="str">
        <f>"460003199606141824"</f>
        <v>460003199606141824</v>
      </c>
      <c r="F1156" s="7" t="str">
        <f>"河南省平顶山学院"</f>
        <v>河南省平顶山学院</v>
      </c>
      <c r="G1156" s="7" t="str">
        <f t="shared" si="471"/>
        <v>学前教育</v>
      </c>
      <c r="H1156" s="7" t="str">
        <f>"本科"</f>
        <v>本科</v>
      </c>
      <c r="I1156" s="7" t="str">
        <f t="shared" si="472"/>
        <v>幼儿园教师资格</v>
      </c>
    </row>
    <row r="1157" customHeight="1" spans="1:9">
      <c r="A1157" s="6">
        <v>1155</v>
      </c>
      <c r="B1157" s="7" t="s">
        <v>10</v>
      </c>
      <c r="C1157" s="8" t="str">
        <f>"卓彩虹"</f>
        <v>卓彩虹</v>
      </c>
      <c r="D1157" s="8" t="str">
        <f t="shared" si="458"/>
        <v>女</v>
      </c>
      <c r="E1157" s="7" t="str">
        <f>"460006199401137548"</f>
        <v>460006199401137548</v>
      </c>
      <c r="F1157" s="7" t="str">
        <f>"海南师范大学"</f>
        <v>海南师范大学</v>
      </c>
      <c r="G1157" s="7" t="str">
        <f t="shared" si="471"/>
        <v>学前教育</v>
      </c>
      <c r="H1157" s="7" t="str">
        <f t="shared" ref="H1157:H1161" si="473">"专科"</f>
        <v>专科</v>
      </c>
      <c r="I1157" s="7" t="str">
        <f t="shared" si="472"/>
        <v>幼儿园教师资格</v>
      </c>
    </row>
    <row r="1158" customHeight="1" spans="1:9">
      <c r="A1158" s="6">
        <v>1156</v>
      </c>
      <c r="B1158" s="7" t="s">
        <v>12</v>
      </c>
      <c r="C1158" s="8" t="str">
        <f>"梁怡洁"</f>
        <v>梁怡洁</v>
      </c>
      <c r="D1158" s="8" t="str">
        <f t="shared" si="458"/>
        <v>女</v>
      </c>
      <c r="E1158" s="7" t="str">
        <f>"460006199604187529"</f>
        <v>460006199604187529</v>
      </c>
      <c r="F1158" s="7" t="str">
        <f t="shared" ref="F1158:F1161" si="474">"琼台师范学院"</f>
        <v>琼台师范学院</v>
      </c>
      <c r="G1158" s="7" t="str">
        <f t="shared" si="471"/>
        <v>学前教育</v>
      </c>
      <c r="H1158" s="7" t="str">
        <f t="shared" si="473"/>
        <v>专科</v>
      </c>
      <c r="I1158" s="7" t="str">
        <f t="shared" si="472"/>
        <v>幼儿园教师资格</v>
      </c>
    </row>
    <row r="1159" customHeight="1" spans="1:9">
      <c r="A1159" s="6">
        <v>1157</v>
      </c>
      <c r="B1159" s="7" t="s">
        <v>11</v>
      </c>
      <c r="C1159" s="8" t="str">
        <f>"尹小繁"</f>
        <v>尹小繁</v>
      </c>
      <c r="D1159" s="8" t="str">
        <f t="shared" si="458"/>
        <v>女</v>
      </c>
      <c r="E1159" s="7" t="str">
        <f>"460033199505274861"</f>
        <v>460033199505274861</v>
      </c>
      <c r="F1159" s="7" t="str">
        <f t="shared" si="474"/>
        <v>琼台师范学院</v>
      </c>
      <c r="G1159" s="7" t="str">
        <f t="shared" si="471"/>
        <v>学前教育</v>
      </c>
      <c r="H1159" s="7" t="str">
        <f t="shared" si="473"/>
        <v>专科</v>
      </c>
      <c r="I1159" s="7" t="str">
        <f t="shared" si="472"/>
        <v>幼儿园教师资格</v>
      </c>
    </row>
    <row r="1160" customHeight="1" spans="1:9">
      <c r="A1160" s="6">
        <v>1158</v>
      </c>
      <c r="B1160" s="7" t="s">
        <v>12</v>
      </c>
      <c r="C1160" s="8" t="str">
        <f>"符玲玲"</f>
        <v>符玲玲</v>
      </c>
      <c r="D1160" s="8" t="str">
        <f t="shared" si="458"/>
        <v>女</v>
      </c>
      <c r="E1160" s="7" t="str">
        <f>"460028199510276828"</f>
        <v>460028199510276828</v>
      </c>
      <c r="F1160" s="7" t="str">
        <f t="shared" si="474"/>
        <v>琼台师范学院</v>
      </c>
      <c r="G1160" s="7" t="str">
        <f t="shared" si="471"/>
        <v>学前教育</v>
      </c>
      <c r="H1160" s="7" t="str">
        <f t="shared" si="473"/>
        <v>专科</v>
      </c>
      <c r="I1160" s="7" t="str">
        <f t="shared" si="472"/>
        <v>幼儿园教师资格</v>
      </c>
    </row>
    <row r="1161" customHeight="1" spans="1:9">
      <c r="A1161" s="6">
        <v>1159</v>
      </c>
      <c r="B1161" s="7" t="s">
        <v>11</v>
      </c>
      <c r="C1161" s="8" t="str">
        <f>"薛玉柳"</f>
        <v>薛玉柳</v>
      </c>
      <c r="D1161" s="8" t="str">
        <f t="shared" si="458"/>
        <v>女</v>
      </c>
      <c r="E1161" s="7" t="str">
        <f>"460003199309104269"</f>
        <v>460003199309104269</v>
      </c>
      <c r="F1161" s="7" t="str">
        <f t="shared" si="474"/>
        <v>琼台师范学院</v>
      </c>
      <c r="G1161" s="7" t="str">
        <f t="shared" si="471"/>
        <v>学前教育</v>
      </c>
      <c r="H1161" s="7" t="str">
        <f t="shared" si="473"/>
        <v>专科</v>
      </c>
      <c r="I1161" s="7" t="str">
        <f t="shared" si="472"/>
        <v>幼儿园教师资格</v>
      </c>
    </row>
    <row r="1162" customHeight="1" spans="1:9">
      <c r="A1162" s="6">
        <v>1160</v>
      </c>
      <c r="B1162" s="7" t="s">
        <v>10</v>
      </c>
      <c r="C1162" s="8" t="str">
        <f>"李雅君"</f>
        <v>李雅君</v>
      </c>
      <c r="D1162" s="8" t="str">
        <f t="shared" si="458"/>
        <v>女</v>
      </c>
      <c r="E1162" s="7" t="str">
        <f>"460103199311213646"</f>
        <v>460103199311213646</v>
      </c>
      <c r="F1162" s="7" t="str">
        <f>"太原师范学院"</f>
        <v>太原师范学院</v>
      </c>
      <c r="G1162" s="7" t="str">
        <f t="shared" si="471"/>
        <v>学前教育</v>
      </c>
      <c r="H1162" s="7" t="str">
        <f t="shared" ref="H1162:H1166" si="475">"本科"</f>
        <v>本科</v>
      </c>
      <c r="I1162" s="7" t="str">
        <f t="shared" si="472"/>
        <v>幼儿园教师资格</v>
      </c>
    </row>
    <row r="1163" customHeight="1" spans="1:9">
      <c r="A1163" s="6">
        <v>1161</v>
      </c>
      <c r="B1163" s="7" t="s">
        <v>10</v>
      </c>
      <c r="C1163" s="8" t="str">
        <f>"周彩凤"</f>
        <v>周彩凤</v>
      </c>
      <c r="D1163" s="8" t="str">
        <f t="shared" si="458"/>
        <v>女</v>
      </c>
      <c r="E1163" s="7" t="str">
        <f>"460003199604093443"</f>
        <v>460003199604093443</v>
      </c>
      <c r="F1163" s="7" t="str">
        <f>"忻州师范学院"</f>
        <v>忻州师范学院</v>
      </c>
      <c r="G1163" s="7" t="str">
        <f t="shared" si="471"/>
        <v>学前教育</v>
      </c>
      <c r="H1163" s="7" t="str">
        <f t="shared" si="475"/>
        <v>本科</v>
      </c>
      <c r="I1163" s="7" t="str">
        <f t="shared" si="472"/>
        <v>幼儿园教师资格</v>
      </c>
    </row>
    <row r="1164" customHeight="1" spans="1:9">
      <c r="A1164" s="6">
        <v>1162</v>
      </c>
      <c r="B1164" s="7" t="s">
        <v>11</v>
      </c>
      <c r="C1164" s="8" t="str">
        <f>"曾敏"</f>
        <v>曾敏</v>
      </c>
      <c r="D1164" s="8" t="str">
        <f t="shared" si="458"/>
        <v>女</v>
      </c>
      <c r="E1164" s="7" t="str">
        <f>"460027199003170029"</f>
        <v>460027199003170029</v>
      </c>
      <c r="F1164" s="7" t="str">
        <f>"琼台师范高等专科学校"</f>
        <v>琼台师范高等专科学校</v>
      </c>
      <c r="G1164" s="7" t="str">
        <f>"学前教育(英语方向)"</f>
        <v>学前教育(英语方向)</v>
      </c>
      <c r="H1164" s="7" t="str">
        <f t="shared" ref="H1164:H1172" si="476">"专科"</f>
        <v>专科</v>
      </c>
      <c r="I1164" s="7" t="str">
        <f t="shared" si="472"/>
        <v>幼儿园教师资格</v>
      </c>
    </row>
    <row r="1165" customHeight="1" spans="1:9">
      <c r="A1165" s="6">
        <v>1163</v>
      </c>
      <c r="B1165" s="7" t="s">
        <v>11</v>
      </c>
      <c r="C1165" s="8" t="str">
        <f>"卓金玉"</f>
        <v>卓金玉</v>
      </c>
      <c r="D1165" s="8" t="str">
        <f t="shared" si="458"/>
        <v>女</v>
      </c>
      <c r="E1165" s="7" t="str">
        <f>"460006199911287220"</f>
        <v>460006199911287220</v>
      </c>
      <c r="F1165" s="7" t="str">
        <f>"琼台师范学院"</f>
        <v>琼台师范学院</v>
      </c>
      <c r="G1165" s="7" t="str">
        <f t="shared" ref="G1165:G1173" si="477">"学前教育"</f>
        <v>学前教育</v>
      </c>
      <c r="H1165" s="7" t="str">
        <f>"专科(高职)"</f>
        <v>专科(高职)</v>
      </c>
      <c r="I1165" s="7" t="str">
        <f t="shared" si="472"/>
        <v>幼儿园教师资格</v>
      </c>
    </row>
    <row r="1166" customHeight="1" spans="1:9">
      <c r="A1166" s="6">
        <v>1164</v>
      </c>
      <c r="B1166" s="7" t="s">
        <v>10</v>
      </c>
      <c r="C1166" s="8" t="str">
        <f>"麦桂月"</f>
        <v>麦桂月</v>
      </c>
      <c r="D1166" s="8" t="str">
        <f t="shared" si="458"/>
        <v>女</v>
      </c>
      <c r="E1166" s="7" t="str">
        <f>"460003199504282626"</f>
        <v>460003199504282626</v>
      </c>
      <c r="F1166" s="7" t="str">
        <f>"海南热带海洋学院"</f>
        <v>海南热带海洋学院</v>
      </c>
      <c r="G1166" s="7" t="str">
        <f t="shared" si="477"/>
        <v>学前教育</v>
      </c>
      <c r="H1166" s="7" t="str">
        <f t="shared" si="475"/>
        <v>本科</v>
      </c>
      <c r="I1166" s="7" t="str">
        <f t="shared" si="472"/>
        <v>幼儿园教师资格</v>
      </c>
    </row>
    <row r="1167" customHeight="1" spans="1:9">
      <c r="A1167" s="6">
        <v>1165</v>
      </c>
      <c r="B1167" s="7" t="s">
        <v>12</v>
      </c>
      <c r="C1167" s="8" t="str">
        <f>"谢宛玉"</f>
        <v>谢宛玉</v>
      </c>
      <c r="D1167" s="8" t="str">
        <f t="shared" si="458"/>
        <v>女</v>
      </c>
      <c r="E1167" s="7" t="str">
        <f>"460005199809245626"</f>
        <v>460005199809245626</v>
      </c>
      <c r="F1167" s="7" t="str">
        <f>"琼台师范学院"</f>
        <v>琼台师范学院</v>
      </c>
      <c r="G1167" s="7" t="str">
        <f t="shared" si="477"/>
        <v>学前教育</v>
      </c>
      <c r="H1167" s="7" t="str">
        <f t="shared" si="476"/>
        <v>专科</v>
      </c>
      <c r="I1167" s="7" t="str">
        <f t="shared" si="472"/>
        <v>幼儿园教师资格</v>
      </c>
    </row>
    <row r="1168" customHeight="1" spans="1:9">
      <c r="A1168" s="6">
        <v>1166</v>
      </c>
      <c r="B1168" s="7" t="s">
        <v>11</v>
      </c>
      <c r="C1168" s="8" t="str">
        <f>"王梅妍"</f>
        <v>王梅妍</v>
      </c>
      <c r="D1168" s="8" t="str">
        <f t="shared" si="458"/>
        <v>女</v>
      </c>
      <c r="E1168" s="7" t="str">
        <f>"46000319961218664X"</f>
        <v>46000319961218664X</v>
      </c>
      <c r="F1168" s="7" t="str">
        <f>"海南热带海洋学院"</f>
        <v>海南热带海洋学院</v>
      </c>
      <c r="G1168" s="7" t="str">
        <f t="shared" si="477"/>
        <v>学前教育</v>
      </c>
      <c r="H1168" s="7" t="str">
        <f t="shared" si="476"/>
        <v>专科</v>
      </c>
      <c r="I1168" s="7" t="str">
        <f t="shared" si="472"/>
        <v>幼儿园教师资格</v>
      </c>
    </row>
    <row r="1169" customHeight="1" spans="1:9">
      <c r="A1169" s="6">
        <v>1167</v>
      </c>
      <c r="B1169" s="7" t="s">
        <v>11</v>
      </c>
      <c r="C1169" s="8" t="str">
        <f>"王锐"</f>
        <v>王锐</v>
      </c>
      <c r="D1169" s="8" t="str">
        <f t="shared" si="458"/>
        <v>女</v>
      </c>
      <c r="E1169" s="7" t="str">
        <f>"46002719920304262X"</f>
        <v>46002719920304262X</v>
      </c>
      <c r="F1169" s="7" t="str">
        <f>"琼台师范高等专科学校"</f>
        <v>琼台师范高等专科学校</v>
      </c>
      <c r="G1169" s="7" t="str">
        <f t="shared" si="477"/>
        <v>学前教育</v>
      </c>
      <c r="H1169" s="7" t="str">
        <f t="shared" si="476"/>
        <v>专科</v>
      </c>
      <c r="I1169" s="7" t="str">
        <f t="shared" si="472"/>
        <v>幼儿园教师资格</v>
      </c>
    </row>
    <row r="1170" customHeight="1" spans="1:9">
      <c r="A1170" s="6">
        <v>1168</v>
      </c>
      <c r="B1170" s="7" t="s">
        <v>11</v>
      </c>
      <c r="C1170" s="8" t="str">
        <f>"柯顺意"</f>
        <v>柯顺意</v>
      </c>
      <c r="D1170" s="8" t="str">
        <f t="shared" si="458"/>
        <v>女</v>
      </c>
      <c r="E1170" s="7" t="str">
        <f>"460028199403240846"</f>
        <v>460028199403240846</v>
      </c>
      <c r="F1170" s="7" t="str">
        <f>"琼州学院"</f>
        <v>琼州学院</v>
      </c>
      <c r="G1170" s="7" t="str">
        <f t="shared" si="477"/>
        <v>学前教育</v>
      </c>
      <c r="H1170" s="7" t="str">
        <f t="shared" si="476"/>
        <v>专科</v>
      </c>
      <c r="I1170" s="7" t="str">
        <f t="shared" si="472"/>
        <v>幼儿园教师资格</v>
      </c>
    </row>
    <row r="1171" customHeight="1" spans="1:9">
      <c r="A1171" s="6">
        <v>1169</v>
      </c>
      <c r="B1171" s="7" t="s">
        <v>11</v>
      </c>
      <c r="C1171" s="8" t="str">
        <f>"吴秋月"</f>
        <v>吴秋月</v>
      </c>
      <c r="D1171" s="8" t="str">
        <f t="shared" si="458"/>
        <v>女</v>
      </c>
      <c r="E1171" s="7" t="str">
        <f>"460027199504140020"</f>
        <v>460027199504140020</v>
      </c>
      <c r="F1171" s="7" t="str">
        <f>"海南省琼台师范学院"</f>
        <v>海南省琼台师范学院</v>
      </c>
      <c r="G1171" s="7" t="str">
        <f t="shared" si="477"/>
        <v>学前教育</v>
      </c>
      <c r="H1171" s="7" t="str">
        <f t="shared" si="476"/>
        <v>专科</v>
      </c>
      <c r="I1171" s="7" t="str">
        <f t="shared" si="472"/>
        <v>幼儿园教师资格</v>
      </c>
    </row>
    <row r="1172" customHeight="1" spans="1:9">
      <c r="A1172" s="6">
        <v>1170</v>
      </c>
      <c r="B1172" s="7" t="s">
        <v>12</v>
      </c>
      <c r="C1172" s="8" t="str">
        <f>"蔡蔓"</f>
        <v>蔡蔓</v>
      </c>
      <c r="D1172" s="8" t="str">
        <f t="shared" si="458"/>
        <v>女</v>
      </c>
      <c r="E1172" s="7" t="str">
        <f>"460027199312150021"</f>
        <v>460027199312150021</v>
      </c>
      <c r="F1172" s="7" t="str">
        <f t="shared" ref="F1172:F1178" si="478">"琼台师范学院"</f>
        <v>琼台师范学院</v>
      </c>
      <c r="G1172" s="7" t="str">
        <f t="shared" si="477"/>
        <v>学前教育</v>
      </c>
      <c r="H1172" s="7" t="str">
        <f t="shared" si="476"/>
        <v>专科</v>
      </c>
      <c r="I1172" s="7" t="str">
        <f t="shared" si="472"/>
        <v>幼儿园教师资格</v>
      </c>
    </row>
    <row r="1173" customHeight="1" spans="1:9">
      <c r="A1173" s="6">
        <v>1171</v>
      </c>
      <c r="B1173" s="7" t="s">
        <v>12</v>
      </c>
      <c r="C1173" s="8" t="str">
        <f>"梁紫莲"</f>
        <v>梁紫莲</v>
      </c>
      <c r="D1173" s="8" t="str">
        <f t="shared" si="458"/>
        <v>女</v>
      </c>
      <c r="E1173" s="7" t="str">
        <f>"460026199501151828"</f>
        <v>460026199501151828</v>
      </c>
      <c r="F1173" s="7" t="str">
        <f>"平顶山学院"</f>
        <v>平顶山学院</v>
      </c>
      <c r="G1173" s="7" t="str">
        <f t="shared" si="477"/>
        <v>学前教育</v>
      </c>
      <c r="H1173" s="7" t="str">
        <f>"本科"</f>
        <v>本科</v>
      </c>
      <c r="I1173" s="7" t="str">
        <f t="shared" si="472"/>
        <v>幼儿园教师资格</v>
      </c>
    </row>
    <row r="1174" customHeight="1" spans="1:9">
      <c r="A1174" s="6">
        <v>1172</v>
      </c>
      <c r="B1174" s="7" t="s">
        <v>10</v>
      </c>
      <c r="C1174" s="8" t="str">
        <f>"符得乾"</f>
        <v>符得乾</v>
      </c>
      <c r="D1174" s="8" t="str">
        <f t="shared" si="458"/>
        <v>女</v>
      </c>
      <c r="E1174" s="7" t="str">
        <f>"460003199412193423"</f>
        <v>460003199412193423</v>
      </c>
      <c r="F1174" s="7" t="str">
        <f>"井冈山大学"</f>
        <v>井冈山大学</v>
      </c>
      <c r="G1174" s="7" t="str">
        <f>"学前教育（师范类）"</f>
        <v>学前教育（师范类）</v>
      </c>
      <c r="H1174" s="7" t="str">
        <f>"本科"</f>
        <v>本科</v>
      </c>
      <c r="I1174" s="7" t="str">
        <f t="shared" si="472"/>
        <v>幼儿园教师资格</v>
      </c>
    </row>
    <row r="1175" customHeight="1" spans="1:9">
      <c r="A1175" s="6">
        <v>1173</v>
      </c>
      <c r="B1175" s="7" t="s">
        <v>12</v>
      </c>
      <c r="C1175" s="8" t="str">
        <f>"黄冰"</f>
        <v>黄冰</v>
      </c>
      <c r="D1175" s="8" t="str">
        <f t="shared" si="458"/>
        <v>女</v>
      </c>
      <c r="E1175" s="7" t="str">
        <f>"469023199606302927"</f>
        <v>469023199606302927</v>
      </c>
      <c r="F1175" s="7" t="str">
        <f t="shared" si="478"/>
        <v>琼台师范学院</v>
      </c>
      <c r="G1175" s="7" t="str">
        <f t="shared" ref="G1175:G1179" si="479">"学前教育"</f>
        <v>学前教育</v>
      </c>
      <c r="H1175" s="7" t="str">
        <f>"专科(高职)"</f>
        <v>专科(高职)</v>
      </c>
      <c r="I1175" s="7" t="str">
        <f t="shared" si="472"/>
        <v>幼儿园教师资格</v>
      </c>
    </row>
    <row r="1176" customHeight="1" spans="1:9">
      <c r="A1176" s="6">
        <v>1174</v>
      </c>
      <c r="B1176" s="7" t="s">
        <v>11</v>
      </c>
      <c r="C1176" s="8" t="str">
        <f>"卢荣英"</f>
        <v>卢荣英</v>
      </c>
      <c r="D1176" s="8" t="str">
        <f t="shared" si="458"/>
        <v>女</v>
      </c>
      <c r="E1176" s="7" t="str">
        <f>"460004199408075025"</f>
        <v>460004199408075025</v>
      </c>
      <c r="F1176" s="7" t="str">
        <f>"海南热带海洋学院"</f>
        <v>海南热带海洋学院</v>
      </c>
      <c r="G1176" s="7" t="str">
        <f t="shared" si="479"/>
        <v>学前教育</v>
      </c>
      <c r="H1176" s="7" t="str">
        <f t="shared" ref="H1176:H1178" si="480">"专科"</f>
        <v>专科</v>
      </c>
      <c r="I1176" s="7" t="str">
        <f t="shared" si="472"/>
        <v>幼儿园教师资格</v>
      </c>
    </row>
    <row r="1177" customHeight="1" spans="1:9">
      <c r="A1177" s="6">
        <v>1175</v>
      </c>
      <c r="B1177" s="7" t="s">
        <v>11</v>
      </c>
      <c r="C1177" s="8" t="str">
        <f>"王萱萱"</f>
        <v>王萱萱</v>
      </c>
      <c r="D1177" s="8" t="str">
        <f t="shared" si="458"/>
        <v>女</v>
      </c>
      <c r="E1177" s="7" t="str">
        <f>"460001199603081720"</f>
        <v>460001199603081720</v>
      </c>
      <c r="F1177" s="7" t="str">
        <f t="shared" si="478"/>
        <v>琼台师范学院</v>
      </c>
      <c r="G1177" s="7" t="str">
        <f t="shared" si="479"/>
        <v>学前教育</v>
      </c>
      <c r="H1177" s="7" t="str">
        <f t="shared" si="480"/>
        <v>专科</v>
      </c>
      <c r="I1177" s="7" t="str">
        <f t="shared" si="472"/>
        <v>幼儿园教师资格</v>
      </c>
    </row>
    <row r="1178" customHeight="1" spans="1:9">
      <c r="A1178" s="6">
        <v>1176</v>
      </c>
      <c r="B1178" s="7" t="s">
        <v>10</v>
      </c>
      <c r="C1178" s="8" t="str">
        <f>"潘丽芳"</f>
        <v>潘丽芳</v>
      </c>
      <c r="D1178" s="8" t="str">
        <f t="shared" si="458"/>
        <v>女</v>
      </c>
      <c r="E1178" s="7" t="str">
        <f>"460004199802283228"</f>
        <v>460004199802283228</v>
      </c>
      <c r="F1178" s="7" t="str">
        <f t="shared" si="478"/>
        <v>琼台师范学院</v>
      </c>
      <c r="G1178" s="7" t="str">
        <f t="shared" si="479"/>
        <v>学前教育</v>
      </c>
      <c r="H1178" s="7" t="str">
        <f t="shared" si="480"/>
        <v>专科</v>
      </c>
      <c r="I1178" s="7" t="str">
        <f t="shared" si="472"/>
        <v>幼儿园教师资格</v>
      </c>
    </row>
    <row r="1179" customHeight="1" spans="1:9">
      <c r="A1179" s="6">
        <v>1177</v>
      </c>
      <c r="B1179" s="7" t="s">
        <v>12</v>
      </c>
      <c r="C1179" s="8" t="str">
        <f>"洪晓丹"</f>
        <v>洪晓丹</v>
      </c>
      <c r="D1179" s="8" t="str">
        <f t="shared" si="458"/>
        <v>女</v>
      </c>
      <c r="E1179" s="7" t="str">
        <f>"460028199303273245"</f>
        <v>460028199303273245</v>
      </c>
      <c r="F1179" s="7" t="str">
        <f>"海南师范大学"</f>
        <v>海南师范大学</v>
      </c>
      <c r="G1179" s="7" t="str">
        <f t="shared" si="479"/>
        <v>学前教育</v>
      </c>
      <c r="H1179" s="7" t="str">
        <f>"专科(高职)"</f>
        <v>专科(高职)</v>
      </c>
      <c r="I1179" s="7" t="str">
        <f t="shared" si="472"/>
        <v>幼儿园教师资格</v>
      </c>
    </row>
    <row r="1180" customHeight="1" spans="1:9">
      <c r="A1180" s="6">
        <v>1178</v>
      </c>
      <c r="B1180" s="7" t="s">
        <v>12</v>
      </c>
      <c r="C1180" s="8" t="str">
        <f>"陈禄爱"</f>
        <v>陈禄爱</v>
      </c>
      <c r="D1180" s="8" t="str">
        <f t="shared" si="458"/>
        <v>女</v>
      </c>
      <c r="E1180" s="7" t="str">
        <f>"460003199311087023"</f>
        <v>460003199311087023</v>
      </c>
      <c r="F1180" s="7" t="str">
        <f>"海南师范大学"</f>
        <v>海南师范大学</v>
      </c>
      <c r="G1180" s="7" t="str">
        <f>"学前教育专业"</f>
        <v>学前教育专业</v>
      </c>
      <c r="H1180" s="7" t="str">
        <f t="shared" ref="H1180:H1184" si="481">"专科"</f>
        <v>专科</v>
      </c>
      <c r="I1180" s="7" t="str">
        <f t="shared" si="472"/>
        <v>幼儿园教师资格</v>
      </c>
    </row>
    <row r="1181" customHeight="1" spans="1:9">
      <c r="A1181" s="6">
        <v>1179</v>
      </c>
      <c r="B1181" s="7" t="s">
        <v>11</v>
      </c>
      <c r="C1181" s="8" t="str">
        <f>"林洁"</f>
        <v>林洁</v>
      </c>
      <c r="D1181" s="8" t="str">
        <f t="shared" si="458"/>
        <v>女</v>
      </c>
      <c r="E1181" s="7" t="str">
        <f>"460005199501052326"</f>
        <v>460005199501052326</v>
      </c>
      <c r="F1181" s="7" t="str">
        <f t="shared" ref="F1181:F1184" si="482">"琼台师范学院"</f>
        <v>琼台师范学院</v>
      </c>
      <c r="G1181" s="7" t="str">
        <f t="shared" ref="G1181:G1194" si="483">"学前教育"</f>
        <v>学前教育</v>
      </c>
      <c r="H1181" s="7" t="str">
        <f t="shared" si="481"/>
        <v>专科</v>
      </c>
      <c r="I1181" s="7" t="str">
        <f t="shared" si="472"/>
        <v>幼儿园教师资格</v>
      </c>
    </row>
    <row r="1182" customHeight="1" spans="1:9">
      <c r="A1182" s="6">
        <v>1180</v>
      </c>
      <c r="B1182" s="7" t="s">
        <v>10</v>
      </c>
      <c r="C1182" s="8" t="str">
        <f>"符万霞"</f>
        <v>符万霞</v>
      </c>
      <c r="D1182" s="8" t="str">
        <f t="shared" si="458"/>
        <v>女</v>
      </c>
      <c r="E1182" s="7" t="str">
        <f>"460003199406226022"</f>
        <v>460003199406226022</v>
      </c>
      <c r="F1182" s="7" t="str">
        <f t="shared" si="482"/>
        <v>琼台师范学院</v>
      </c>
      <c r="G1182" s="7" t="str">
        <f t="shared" si="483"/>
        <v>学前教育</v>
      </c>
      <c r="H1182" s="7" t="str">
        <f t="shared" si="481"/>
        <v>专科</v>
      </c>
      <c r="I1182" s="7" t="str">
        <f t="shared" si="472"/>
        <v>幼儿园教师资格</v>
      </c>
    </row>
    <row r="1183" customHeight="1" spans="1:9">
      <c r="A1183" s="6">
        <v>1181</v>
      </c>
      <c r="B1183" s="7" t="s">
        <v>12</v>
      </c>
      <c r="C1183" s="8" t="str">
        <f>"陈桂焕"</f>
        <v>陈桂焕</v>
      </c>
      <c r="D1183" s="8" t="str">
        <f t="shared" si="458"/>
        <v>女</v>
      </c>
      <c r="E1183" s="7" t="str">
        <f>"46000419901002384X"</f>
        <v>46000419901002384X</v>
      </c>
      <c r="F1183" s="7" t="str">
        <f>"海南省琼台师范高等专科学校"</f>
        <v>海南省琼台师范高等专科学校</v>
      </c>
      <c r="G1183" s="7" t="str">
        <f t="shared" si="483"/>
        <v>学前教育</v>
      </c>
      <c r="H1183" s="7" t="str">
        <f t="shared" si="481"/>
        <v>专科</v>
      </c>
      <c r="I1183" s="7" t="str">
        <f t="shared" si="472"/>
        <v>幼儿园教师资格</v>
      </c>
    </row>
    <row r="1184" customHeight="1" spans="1:9">
      <c r="A1184" s="6">
        <v>1182</v>
      </c>
      <c r="B1184" s="7" t="s">
        <v>11</v>
      </c>
      <c r="C1184" s="8" t="str">
        <f>"陈少芳"</f>
        <v>陈少芳</v>
      </c>
      <c r="D1184" s="8" t="str">
        <f t="shared" si="458"/>
        <v>女</v>
      </c>
      <c r="E1184" s="7" t="str">
        <f>"460028199405082423"</f>
        <v>460028199405082423</v>
      </c>
      <c r="F1184" s="7" t="str">
        <f t="shared" si="482"/>
        <v>琼台师范学院</v>
      </c>
      <c r="G1184" s="7" t="str">
        <f t="shared" si="483"/>
        <v>学前教育</v>
      </c>
      <c r="H1184" s="7" t="str">
        <f t="shared" si="481"/>
        <v>专科</v>
      </c>
      <c r="I1184" s="7" t="str">
        <f t="shared" si="472"/>
        <v>幼儿园教师资格</v>
      </c>
    </row>
    <row r="1185" customHeight="1" spans="1:9">
      <c r="A1185" s="6">
        <v>1183</v>
      </c>
      <c r="B1185" s="7" t="s">
        <v>10</v>
      </c>
      <c r="C1185" s="8" t="str">
        <f>"常艳莉"</f>
        <v>常艳莉</v>
      </c>
      <c r="D1185" s="8" t="str">
        <f t="shared" si="458"/>
        <v>女</v>
      </c>
      <c r="E1185" s="7" t="str">
        <f>"460027199606266628"</f>
        <v>460027199606266628</v>
      </c>
      <c r="F1185" s="7" t="str">
        <f>"闽南师范大学"</f>
        <v>闽南师范大学</v>
      </c>
      <c r="G1185" s="7" t="str">
        <f t="shared" si="483"/>
        <v>学前教育</v>
      </c>
      <c r="H1185" s="7" t="str">
        <f>"本科"</f>
        <v>本科</v>
      </c>
      <c r="I1185" s="7" t="str">
        <f t="shared" si="472"/>
        <v>幼儿园教师资格</v>
      </c>
    </row>
    <row r="1186" customHeight="1" spans="1:9">
      <c r="A1186" s="6">
        <v>1184</v>
      </c>
      <c r="B1186" s="7" t="s">
        <v>11</v>
      </c>
      <c r="C1186" s="8" t="str">
        <f>"卢霞"</f>
        <v>卢霞</v>
      </c>
      <c r="D1186" s="8" t="str">
        <f t="shared" si="458"/>
        <v>女</v>
      </c>
      <c r="E1186" s="7" t="str">
        <f>"460032199202077629"</f>
        <v>460032199202077629</v>
      </c>
      <c r="F1186" s="7" t="str">
        <f t="shared" ref="F1186:F1195" si="484">"琼台师范学院"</f>
        <v>琼台师范学院</v>
      </c>
      <c r="G1186" s="7" t="str">
        <f t="shared" si="483"/>
        <v>学前教育</v>
      </c>
      <c r="H1186" s="7" t="str">
        <f t="shared" ref="H1186:H1207" si="485">"专科"</f>
        <v>专科</v>
      </c>
      <c r="I1186" s="7" t="str">
        <f t="shared" si="472"/>
        <v>幼儿园教师资格</v>
      </c>
    </row>
    <row r="1187" customHeight="1" spans="1:9">
      <c r="A1187" s="6">
        <v>1185</v>
      </c>
      <c r="B1187" s="7" t="s">
        <v>10</v>
      </c>
      <c r="C1187" s="8" t="str">
        <f>"徐赫"</f>
        <v>徐赫</v>
      </c>
      <c r="D1187" s="8" t="str">
        <f t="shared" ref="D1187:D1243" si="486">"女"</f>
        <v>女</v>
      </c>
      <c r="E1187" s="7" t="str">
        <f>"231182199512185542"</f>
        <v>231182199512185542</v>
      </c>
      <c r="F1187" s="7" t="str">
        <f>"伊春职业学院"</f>
        <v>伊春职业学院</v>
      </c>
      <c r="G1187" s="7" t="str">
        <f t="shared" si="483"/>
        <v>学前教育</v>
      </c>
      <c r="H1187" s="7" t="str">
        <f t="shared" si="485"/>
        <v>专科</v>
      </c>
      <c r="I1187" s="7" t="str">
        <f t="shared" si="472"/>
        <v>幼儿园教师资格</v>
      </c>
    </row>
    <row r="1188" customHeight="1" spans="1:9">
      <c r="A1188" s="6">
        <v>1186</v>
      </c>
      <c r="B1188" s="7" t="s">
        <v>11</v>
      </c>
      <c r="C1188" s="8" t="str">
        <f>"周月芬"</f>
        <v>周月芬</v>
      </c>
      <c r="D1188" s="8" t="str">
        <f t="shared" si="486"/>
        <v>女</v>
      </c>
      <c r="E1188" s="7" t="str">
        <f>"460028199410130047"</f>
        <v>460028199410130047</v>
      </c>
      <c r="F1188" s="7" t="str">
        <f t="shared" si="484"/>
        <v>琼台师范学院</v>
      </c>
      <c r="G1188" s="7" t="str">
        <f t="shared" si="483"/>
        <v>学前教育</v>
      </c>
      <c r="H1188" s="7" t="str">
        <f t="shared" si="485"/>
        <v>专科</v>
      </c>
      <c r="I1188" s="7" t="str">
        <f t="shared" si="472"/>
        <v>幼儿园教师资格</v>
      </c>
    </row>
    <row r="1189" customHeight="1" spans="1:9">
      <c r="A1189" s="6">
        <v>1187</v>
      </c>
      <c r="B1189" s="7" t="s">
        <v>11</v>
      </c>
      <c r="C1189" s="8" t="str">
        <f>"陈秋盈"</f>
        <v>陈秋盈</v>
      </c>
      <c r="D1189" s="8" t="str">
        <f t="shared" si="486"/>
        <v>女</v>
      </c>
      <c r="E1189" s="7" t="str">
        <f>"460028199306127243"</f>
        <v>460028199306127243</v>
      </c>
      <c r="F1189" s="7" t="str">
        <f>"海南热带海洋学院"</f>
        <v>海南热带海洋学院</v>
      </c>
      <c r="G1189" s="7" t="str">
        <f t="shared" si="483"/>
        <v>学前教育</v>
      </c>
      <c r="H1189" s="7" t="str">
        <f t="shared" si="485"/>
        <v>专科</v>
      </c>
      <c r="I1189" s="7" t="str">
        <f t="shared" si="472"/>
        <v>幼儿园教师资格</v>
      </c>
    </row>
    <row r="1190" customHeight="1" spans="1:9">
      <c r="A1190" s="6">
        <v>1188</v>
      </c>
      <c r="B1190" s="7" t="s">
        <v>12</v>
      </c>
      <c r="C1190" s="8" t="str">
        <f>"蔡惠珍"</f>
        <v>蔡惠珍</v>
      </c>
      <c r="D1190" s="8" t="str">
        <f t="shared" si="486"/>
        <v>女</v>
      </c>
      <c r="E1190" s="7" t="str">
        <f>"460006199008308160"</f>
        <v>460006199008308160</v>
      </c>
      <c r="F1190" s="7" t="str">
        <f t="shared" si="484"/>
        <v>琼台师范学院</v>
      </c>
      <c r="G1190" s="7" t="str">
        <f t="shared" si="483"/>
        <v>学前教育</v>
      </c>
      <c r="H1190" s="7" t="str">
        <f t="shared" si="485"/>
        <v>专科</v>
      </c>
      <c r="I1190" s="7" t="str">
        <f t="shared" si="472"/>
        <v>幼儿园教师资格</v>
      </c>
    </row>
    <row r="1191" customHeight="1" spans="1:9">
      <c r="A1191" s="6">
        <v>1189</v>
      </c>
      <c r="B1191" s="7" t="s">
        <v>11</v>
      </c>
      <c r="C1191" s="8" t="str">
        <f>"吴乙凤"</f>
        <v>吴乙凤</v>
      </c>
      <c r="D1191" s="8" t="str">
        <f t="shared" si="486"/>
        <v>女</v>
      </c>
      <c r="E1191" s="7" t="str">
        <f>"460032199305136206"</f>
        <v>460032199305136206</v>
      </c>
      <c r="F1191" s="7" t="str">
        <f t="shared" si="484"/>
        <v>琼台师范学院</v>
      </c>
      <c r="G1191" s="7" t="str">
        <f t="shared" si="483"/>
        <v>学前教育</v>
      </c>
      <c r="H1191" s="7" t="str">
        <f t="shared" si="485"/>
        <v>专科</v>
      </c>
      <c r="I1191" s="7" t="str">
        <f t="shared" si="472"/>
        <v>幼儿园教师资格</v>
      </c>
    </row>
    <row r="1192" customHeight="1" spans="1:9">
      <c r="A1192" s="6">
        <v>1190</v>
      </c>
      <c r="B1192" s="7" t="s">
        <v>10</v>
      </c>
      <c r="C1192" s="8" t="str">
        <f>"黄锦"</f>
        <v>黄锦</v>
      </c>
      <c r="D1192" s="8" t="str">
        <f t="shared" si="486"/>
        <v>女</v>
      </c>
      <c r="E1192" s="7" t="str">
        <f>"46000620000605342X"</f>
        <v>46000620000605342X</v>
      </c>
      <c r="F1192" s="7" t="str">
        <f t="shared" si="484"/>
        <v>琼台师范学院</v>
      </c>
      <c r="G1192" s="7" t="str">
        <f t="shared" si="483"/>
        <v>学前教育</v>
      </c>
      <c r="H1192" s="7" t="str">
        <f t="shared" si="485"/>
        <v>专科</v>
      </c>
      <c r="I1192" s="7" t="str">
        <f t="shared" si="472"/>
        <v>幼儿园教师资格</v>
      </c>
    </row>
    <row r="1193" customHeight="1" spans="1:9">
      <c r="A1193" s="6">
        <v>1191</v>
      </c>
      <c r="B1193" s="7" t="s">
        <v>12</v>
      </c>
      <c r="C1193" s="8" t="str">
        <f>"陈燕玲"</f>
        <v>陈燕玲</v>
      </c>
      <c r="D1193" s="8" t="str">
        <f t="shared" si="486"/>
        <v>女</v>
      </c>
      <c r="E1193" s="7" t="str">
        <f>"460026199306112428"</f>
        <v>460026199306112428</v>
      </c>
      <c r="F1193" s="7" t="str">
        <f t="shared" si="484"/>
        <v>琼台师范学院</v>
      </c>
      <c r="G1193" s="7" t="str">
        <f t="shared" si="483"/>
        <v>学前教育</v>
      </c>
      <c r="H1193" s="7" t="str">
        <f t="shared" si="485"/>
        <v>专科</v>
      </c>
      <c r="I1193" s="7" t="str">
        <f t="shared" si="472"/>
        <v>幼儿园教师资格</v>
      </c>
    </row>
    <row r="1194" customHeight="1" spans="1:9">
      <c r="A1194" s="6">
        <v>1192</v>
      </c>
      <c r="B1194" s="7" t="s">
        <v>10</v>
      </c>
      <c r="C1194" s="8" t="str">
        <f>"符晓茜"</f>
        <v>符晓茜</v>
      </c>
      <c r="D1194" s="8" t="str">
        <f t="shared" si="486"/>
        <v>女</v>
      </c>
      <c r="E1194" s="7" t="str">
        <f>"460030199203227227"</f>
        <v>460030199203227227</v>
      </c>
      <c r="F1194" s="7" t="str">
        <f t="shared" si="484"/>
        <v>琼台师范学院</v>
      </c>
      <c r="G1194" s="7" t="str">
        <f t="shared" si="483"/>
        <v>学前教育</v>
      </c>
      <c r="H1194" s="7" t="str">
        <f t="shared" si="485"/>
        <v>专科</v>
      </c>
      <c r="I1194" s="7" t="str">
        <f t="shared" si="472"/>
        <v>幼儿园教师资格</v>
      </c>
    </row>
    <row r="1195" customHeight="1" spans="1:9">
      <c r="A1195" s="6">
        <v>1193</v>
      </c>
      <c r="B1195" s="7" t="s">
        <v>11</v>
      </c>
      <c r="C1195" s="8" t="str">
        <f>"林舒婷"</f>
        <v>林舒婷</v>
      </c>
      <c r="D1195" s="8" t="str">
        <f t="shared" si="486"/>
        <v>女</v>
      </c>
      <c r="E1195" s="7" t="str">
        <f>"460028199503170822"</f>
        <v>460028199503170822</v>
      </c>
      <c r="F1195" s="7" t="str">
        <f t="shared" si="484"/>
        <v>琼台师范学院</v>
      </c>
      <c r="G1195" s="7" t="str">
        <f>"学前教育英语方向"</f>
        <v>学前教育英语方向</v>
      </c>
      <c r="H1195" s="7" t="str">
        <f t="shared" si="485"/>
        <v>专科</v>
      </c>
      <c r="I1195" s="7" t="str">
        <f t="shared" si="472"/>
        <v>幼儿园教师资格</v>
      </c>
    </row>
    <row r="1196" customHeight="1" spans="1:9">
      <c r="A1196" s="6">
        <v>1194</v>
      </c>
      <c r="B1196" s="7" t="s">
        <v>10</v>
      </c>
      <c r="C1196" s="8" t="str">
        <f>"陈曼"</f>
        <v>陈曼</v>
      </c>
      <c r="D1196" s="8" t="str">
        <f t="shared" si="486"/>
        <v>女</v>
      </c>
      <c r="E1196" s="7" t="str">
        <f>"460034199103290929"</f>
        <v>460034199103290929</v>
      </c>
      <c r="F1196" s="7" t="str">
        <f>"琼台师范高等专科学校"</f>
        <v>琼台师范高等专科学校</v>
      </c>
      <c r="G1196" s="7" t="str">
        <f t="shared" ref="G1196:G1205" si="487">"学前教育"</f>
        <v>学前教育</v>
      </c>
      <c r="H1196" s="7" t="str">
        <f t="shared" si="485"/>
        <v>专科</v>
      </c>
      <c r="I1196" s="7" t="str">
        <f t="shared" si="472"/>
        <v>幼儿园教师资格</v>
      </c>
    </row>
    <row r="1197" customHeight="1" spans="1:9">
      <c r="A1197" s="6">
        <v>1195</v>
      </c>
      <c r="B1197" s="7" t="s">
        <v>11</v>
      </c>
      <c r="C1197" s="8" t="str">
        <f>"邓国香"</f>
        <v>邓国香</v>
      </c>
      <c r="D1197" s="8" t="str">
        <f t="shared" si="486"/>
        <v>女</v>
      </c>
      <c r="E1197" s="7" t="str">
        <f>"460003199309052446"</f>
        <v>460003199309052446</v>
      </c>
      <c r="F1197" s="7" t="str">
        <f>"琼台师范高等专科学校"</f>
        <v>琼台师范高等专科学校</v>
      </c>
      <c r="G1197" s="7" t="str">
        <f>"学前教育专业"</f>
        <v>学前教育专业</v>
      </c>
      <c r="H1197" s="7" t="str">
        <f t="shared" si="485"/>
        <v>专科</v>
      </c>
      <c r="I1197" s="7" t="str">
        <f t="shared" si="472"/>
        <v>幼儿园教师资格</v>
      </c>
    </row>
    <row r="1198" customHeight="1" spans="1:9">
      <c r="A1198" s="6">
        <v>1196</v>
      </c>
      <c r="B1198" s="7" t="s">
        <v>11</v>
      </c>
      <c r="C1198" s="8" t="str">
        <f>"符少哪"</f>
        <v>符少哪</v>
      </c>
      <c r="D1198" s="8" t="str">
        <f t="shared" si="486"/>
        <v>女</v>
      </c>
      <c r="E1198" s="7" t="str">
        <f>"460034199508280948"</f>
        <v>460034199508280948</v>
      </c>
      <c r="F1198" s="7" t="str">
        <f t="shared" ref="F1198:F1201" si="488">"琼台师范学院"</f>
        <v>琼台师范学院</v>
      </c>
      <c r="G1198" s="7" t="str">
        <f t="shared" si="487"/>
        <v>学前教育</v>
      </c>
      <c r="H1198" s="7" t="str">
        <f t="shared" si="485"/>
        <v>专科</v>
      </c>
      <c r="I1198" s="7" t="str">
        <f t="shared" si="472"/>
        <v>幼儿园教师资格</v>
      </c>
    </row>
    <row r="1199" customHeight="1" spans="1:9">
      <c r="A1199" s="6">
        <v>1197</v>
      </c>
      <c r="B1199" s="7" t="s">
        <v>10</v>
      </c>
      <c r="C1199" s="8" t="str">
        <f>"王怡佳"</f>
        <v>王怡佳</v>
      </c>
      <c r="D1199" s="8" t="str">
        <f t="shared" si="486"/>
        <v>女</v>
      </c>
      <c r="E1199" s="7" t="str">
        <f>"46902419941218202X"</f>
        <v>46902419941218202X</v>
      </c>
      <c r="F1199" s="7" t="str">
        <f t="shared" si="488"/>
        <v>琼台师范学院</v>
      </c>
      <c r="G1199" s="7" t="str">
        <f t="shared" si="487"/>
        <v>学前教育</v>
      </c>
      <c r="H1199" s="7" t="str">
        <f t="shared" si="485"/>
        <v>专科</v>
      </c>
      <c r="I1199" s="7" t="str">
        <f t="shared" si="472"/>
        <v>幼儿园教师资格</v>
      </c>
    </row>
    <row r="1200" customHeight="1" spans="1:9">
      <c r="A1200" s="6">
        <v>1198</v>
      </c>
      <c r="B1200" s="7" t="s">
        <v>11</v>
      </c>
      <c r="C1200" s="8" t="str">
        <f>"颜绵梅"</f>
        <v>颜绵梅</v>
      </c>
      <c r="D1200" s="8" t="str">
        <f t="shared" si="486"/>
        <v>女</v>
      </c>
      <c r="E1200" s="7" t="str">
        <f>"460027199208108229"</f>
        <v>460027199208108229</v>
      </c>
      <c r="F1200" s="7" t="str">
        <f>"琼台师范高等专科学校幼儿师范学院"</f>
        <v>琼台师范高等专科学校幼儿师范学院</v>
      </c>
      <c r="G1200" s="7" t="str">
        <f t="shared" si="487"/>
        <v>学前教育</v>
      </c>
      <c r="H1200" s="7" t="str">
        <f t="shared" si="485"/>
        <v>专科</v>
      </c>
      <c r="I1200" s="7" t="str">
        <f t="shared" si="472"/>
        <v>幼儿园教师资格</v>
      </c>
    </row>
    <row r="1201" customHeight="1" spans="1:9">
      <c r="A1201" s="6">
        <v>1199</v>
      </c>
      <c r="B1201" s="7" t="s">
        <v>10</v>
      </c>
      <c r="C1201" s="8" t="str">
        <f>"邢小倩"</f>
        <v>邢小倩</v>
      </c>
      <c r="D1201" s="8" t="str">
        <f t="shared" si="486"/>
        <v>女</v>
      </c>
      <c r="E1201" s="7" t="str">
        <f>"460003199705190226"</f>
        <v>460003199705190226</v>
      </c>
      <c r="F1201" s="7" t="str">
        <f t="shared" si="488"/>
        <v>琼台师范学院</v>
      </c>
      <c r="G1201" s="7" t="str">
        <f t="shared" si="487"/>
        <v>学前教育</v>
      </c>
      <c r="H1201" s="7" t="str">
        <f t="shared" si="485"/>
        <v>专科</v>
      </c>
      <c r="I1201" s="7" t="str">
        <f t="shared" si="472"/>
        <v>幼儿园教师资格</v>
      </c>
    </row>
    <row r="1202" customHeight="1" spans="1:9">
      <c r="A1202" s="6">
        <v>1200</v>
      </c>
      <c r="B1202" s="7" t="s">
        <v>10</v>
      </c>
      <c r="C1202" s="8" t="str">
        <f>"何国菱"</f>
        <v>何国菱</v>
      </c>
      <c r="D1202" s="8" t="str">
        <f t="shared" si="486"/>
        <v>女</v>
      </c>
      <c r="E1202" s="7" t="str">
        <f>"460003199206155223"</f>
        <v>460003199206155223</v>
      </c>
      <c r="F1202" s="7" t="str">
        <f>"琼州学院"</f>
        <v>琼州学院</v>
      </c>
      <c r="G1202" s="7" t="str">
        <f t="shared" si="487"/>
        <v>学前教育</v>
      </c>
      <c r="H1202" s="7" t="str">
        <f t="shared" si="485"/>
        <v>专科</v>
      </c>
      <c r="I1202" s="7" t="str">
        <f t="shared" si="472"/>
        <v>幼儿园教师资格</v>
      </c>
    </row>
    <row r="1203" customHeight="1" spans="1:9">
      <c r="A1203" s="6">
        <v>1201</v>
      </c>
      <c r="B1203" s="7" t="s">
        <v>12</v>
      </c>
      <c r="C1203" s="8" t="str">
        <f>"庄珍妮"</f>
        <v>庄珍妮</v>
      </c>
      <c r="D1203" s="8" t="str">
        <f t="shared" si="486"/>
        <v>女</v>
      </c>
      <c r="E1203" s="7" t="str">
        <f>"460028199708020422"</f>
        <v>460028199708020422</v>
      </c>
      <c r="F1203" s="7" t="str">
        <f t="shared" ref="F1203:F1208" si="489">"海南热带海洋学院"</f>
        <v>海南热带海洋学院</v>
      </c>
      <c r="G1203" s="7" t="str">
        <f t="shared" si="487"/>
        <v>学前教育</v>
      </c>
      <c r="H1203" s="7" t="str">
        <f t="shared" si="485"/>
        <v>专科</v>
      </c>
      <c r="I1203" s="7" t="str">
        <f t="shared" si="472"/>
        <v>幼儿园教师资格</v>
      </c>
    </row>
    <row r="1204" customHeight="1" spans="1:9">
      <c r="A1204" s="6">
        <v>1202</v>
      </c>
      <c r="B1204" s="7" t="s">
        <v>10</v>
      </c>
      <c r="C1204" s="8" t="str">
        <f>"王瑶"</f>
        <v>王瑶</v>
      </c>
      <c r="D1204" s="8" t="str">
        <f t="shared" si="486"/>
        <v>女</v>
      </c>
      <c r="E1204" s="7" t="str">
        <f>"460027199509208522"</f>
        <v>460027199509208522</v>
      </c>
      <c r="F1204" s="7" t="str">
        <f>"琼台师范学院"</f>
        <v>琼台师范学院</v>
      </c>
      <c r="G1204" s="7" t="str">
        <f t="shared" si="487"/>
        <v>学前教育</v>
      </c>
      <c r="H1204" s="7" t="str">
        <f t="shared" si="485"/>
        <v>专科</v>
      </c>
      <c r="I1204" s="7" t="str">
        <f t="shared" si="472"/>
        <v>幼儿园教师资格</v>
      </c>
    </row>
    <row r="1205" customHeight="1" spans="1:9">
      <c r="A1205" s="6">
        <v>1203</v>
      </c>
      <c r="B1205" s="7" t="s">
        <v>12</v>
      </c>
      <c r="C1205" s="8" t="str">
        <f>"卢梦玉"</f>
        <v>卢梦玉</v>
      </c>
      <c r="D1205" s="8" t="str">
        <f t="shared" si="486"/>
        <v>女</v>
      </c>
      <c r="E1205" s="7" t="str">
        <f>"460007199606087624"</f>
        <v>460007199606087624</v>
      </c>
      <c r="F1205" s="7" t="str">
        <f t="shared" si="489"/>
        <v>海南热带海洋学院</v>
      </c>
      <c r="G1205" s="7" t="str">
        <f t="shared" si="487"/>
        <v>学前教育</v>
      </c>
      <c r="H1205" s="7" t="str">
        <f t="shared" si="485"/>
        <v>专科</v>
      </c>
      <c r="I1205" s="7" t="str">
        <f t="shared" si="472"/>
        <v>幼儿园教师资格</v>
      </c>
    </row>
    <row r="1206" customHeight="1" spans="1:9">
      <c r="A1206" s="6">
        <v>1204</v>
      </c>
      <c r="B1206" s="7" t="s">
        <v>12</v>
      </c>
      <c r="C1206" s="8" t="str">
        <f>"徐怡"</f>
        <v>徐怡</v>
      </c>
      <c r="D1206" s="8" t="str">
        <f t="shared" si="486"/>
        <v>女</v>
      </c>
      <c r="E1206" s="7" t="str">
        <f>"460027199012201026"</f>
        <v>460027199012201026</v>
      </c>
      <c r="F1206" s="7" t="str">
        <f>"琼台师范高等专科学校"</f>
        <v>琼台师范高等专科学校</v>
      </c>
      <c r="G1206" s="7" t="str">
        <f>"学前教育（英语教育方向）"</f>
        <v>学前教育（英语教育方向）</v>
      </c>
      <c r="H1206" s="7" t="str">
        <f t="shared" si="485"/>
        <v>专科</v>
      </c>
      <c r="I1206" s="7" t="str">
        <f t="shared" si="472"/>
        <v>幼儿园教师资格</v>
      </c>
    </row>
    <row r="1207" customHeight="1" spans="1:9">
      <c r="A1207" s="6">
        <v>1205</v>
      </c>
      <c r="B1207" s="7" t="s">
        <v>10</v>
      </c>
      <c r="C1207" s="8" t="str">
        <f>"王小霞"</f>
        <v>王小霞</v>
      </c>
      <c r="D1207" s="8" t="str">
        <f t="shared" si="486"/>
        <v>女</v>
      </c>
      <c r="E1207" s="7" t="str">
        <f>"460027199411161025"</f>
        <v>460027199411161025</v>
      </c>
      <c r="F1207" s="7" t="str">
        <f t="shared" si="489"/>
        <v>海南热带海洋学院</v>
      </c>
      <c r="G1207" s="7" t="str">
        <f t="shared" ref="G1207:G1213" si="490">"学前教育"</f>
        <v>学前教育</v>
      </c>
      <c r="H1207" s="7" t="str">
        <f t="shared" si="485"/>
        <v>专科</v>
      </c>
      <c r="I1207" s="7" t="str">
        <f t="shared" si="472"/>
        <v>幼儿园教师资格</v>
      </c>
    </row>
    <row r="1208" customHeight="1" spans="1:9">
      <c r="A1208" s="6">
        <v>1206</v>
      </c>
      <c r="B1208" s="7" t="s">
        <v>10</v>
      </c>
      <c r="C1208" s="8" t="str">
        <f>"蔡惠羚"</f>
        <v>蔡惠羚</v>
      </c>
      <c r="D1208" s="8" t="str">
        <f t="shared" si="486"/>
        <v>女</v>
      </c>
      <c r="E1208" s="7" t="str">
        <f>"460026199303101520"</f>
        <v>460026199303101520</v>
      </c>
      <c r="F1208" s="7" t="str">
        <f t="shared" si="489"/>
        <v>海南热带海洋学院</v>
      </c>
      <c r="G1208" s="7" t="str">
        <f t="shared" si="490"/>
        <v>学前教育</v>
      </c>
      <c r="H1208" s="7" t="str">
        <f>"本科"</f>
        <v>本科</v>
      </c>
      <c r="I1208" s="7" t="str">
        <f t="shared" si="472"/>
        <v>幼儿园教师资格</v>
      </c>
    </row>
    <row r="1209" customHeight="1" spans="1:9">
      <c r="A1209" s="6">
        <v>1207</v>
      </c>
      <c r="B1209" s="7" t="s">
        <v>10</v>
      </c>
      <c r="C1209" s="8" t="str">
        <f>"吴柔丝"</f>
        <v>吴柔丝</v>
      </c>
      <c r="D1209" s="8" t="str">
        <f t="shared" si="486"/>
        <v>女</v>
      </c>
      <c r="E1209" s="7" t="str">
        <f>"460027199704234427"</f>
        <v>460027199704234427</v>
      </c>
      <c r="F1209" s="7" t="str">
        <f t="shared" ref="F1209:F1211" si="491">"琼台师范学院"</f>
        <v>琼台师范学院</v>
      </c>
      <c r="G1209" s="7" t="str">
        <f t="shared" si="490"/>
        <v>学前教育</v>
      </c>
      <c r="H1209" s="7" t="str">
        <f t="shared" ref="H1209:H1216" si="492">"专科"</f>
        <v>专科</v>
      </c>
      <c r="I1209" s="7" t="str">
        <f t="shared" si="472"/>
        <v>幼儿园教师资格</v>
      </c>
    </row>
    <row r="1210" customHeight="1" spans="1:9">
      <c r="A1210" s="6">
        <v>1208</v>
      </c>
      <c r="B1210" s="7" t="s">
        <v>10</v>
      </c>
      <c r="C1210" s="8" t="str">
        <f>"方秋玲"</f>
        <v>方秋玲</v>
      </c>
      <c r="D1210" s="8" t="str">
        <f t="shared" si="486"/>
        <v>女</v>
      </c>
      <c r="E1210" s="7" t="str">
        <f>"445224199205242441"</f>
        <v>445224199205242441</v>
      </c>
      <c r="F1210" s="7" t="str">
        <f t="shared" si="491"/>
        <v>琼台师范学院</v>
      </c>
      <c r="G1210" s="7" t="str">
        <f t="shared" si="490"/>
        <v>学前教育</v>
      </c>
      <c r="H1210" s="7" t="str">
        <f t="shared" si="492"/>
        <v>专科</v>
      </c>
      <c r="I1210" s="7" t="str">
        <f t="shared" si="472"/>
        <v>幼儿园教师资格</v>
      </c>
    </row>
    <row r="1211" customHeight="1" spans="1:9">
      <c r="A1211" s="6">
        <v>1209</v>
      </c>
      <c r="B1211" s="7" t="s">
        <v>10</v>
      </c>
      <c r="C1211" s="8" t="str">
        <f>"周曼琼"</f>
        <v>周曼琼</v>
      </c>
      <c r="D1211" s="8" t="str">
        <f t="shared" si="486"/>
        <v>女</v>
      </c>
      <c r="E1211" s="7" t="str">
        <f>"460006199705042927"</f>
        <v>460006199705042927</v>
      </c>
      <c r="F1211" s="7" t="str">
        <f t="shared" si="491"/>
        <v>琼台师范学院</v>
      </c>
      <c r="G1211" s="7" t="str">
        <f t="shared" si="490"/>
        <v>学前教育</v>
      </c>
      <c r="H1211" s="7" t="str">
        <f>"专科(高职)"</f>
        <v>专科(高职)</v>
      </c>
      <c r="I1211" s="7" t="str">
        <f t="shared" si="472"/>
        <v>幼儿园教师资格</v>
      </c>
    </row>
    <row r="1212" customHeight="1" spans="1:9">
      <c r="A1212" s="6">
        <v>1210</v>
      </c>
      <c r="B1212" s="7" t="s">
        <v>10</v>
      </c>
      <c r="C1212" s="8" t="str">
        <f>"陈月娜"</f>
        <v>陈月娜</v>
      </c>
      <c r="D1212" s="8" t="str">
        <f t="shared" si="486"/>
        <v>女</v>
      </c>
      <c r="E1212" s="7" t="str">
        <f>"460003199303036648"</f>
        <v>460003199303036648</v>
      </c>
      <c r="F1212" s="7" t="str">
        <f>"内蒙古师范大学"</f>
        <v>内蒙古师范大学</v>
      </c>
      <c r="G1212" s="7" t="str">
        <f t="shared" si="490"/>
        <v>学前教育</v>
      </c>
      <c r="H1212" s="7" t="str">
        <f>"本科"</f>
        <v>本科</v>
      </c>
      <c r="I1212" s="7" t="str">
        <f t="shared" si="472"/>
        <v>幼儿园教师资格</v>
      </c>
    </row>
    <row r="1213" customHeight="1" spans="1:9">
      <c r="A1213" s="6">
        <v>1211</v>
      </c>
      <c r="B1213" s="7" t="s">
        <v>11</v>
      </c>
      <c r="C1213" s="8" t="str">
        <f>"陈美嘉"</f>
        <v>陈美嘉</v>
      </c>
      <c r="D1213" s="8" t="str">
        <f t="shared" si="486"/>
        <v>女</v>
      </c>
      <c r="E1213" s="7" t="str">
        <f>"460003199709033324"</f>
        <v>460003199709033324</v>
      </c>
      <c r="F1213" s="7" t="str">
        <f t="shared" ref="F1213:F1218" si="493">"琼台师范学院"</f>
        <v>琼台师范学院</v>
      </c>
      <c r="G1213" s="7" t="str">
        <f t="shared" si="490"/>
        <v>学前教育</v>
      </c>
      <c r="H1213" s="7" t="str">
        <f t="shared" si="492"/>
        <v>专科</v>
      </c>
      <c r="I1213" s="7" t="str">
        <f t="shared" si="472"/>
        <v>幼儿园教师资格</v>
      </c>
    </row>
    <row r="1214" customHeight="1" spans="1:9">
      <c r="A1214" s="6">
        <v>1212</v>
      </c>
      <c r="B1214" s="7" t="s">
        <v>12</v>
      </c>
      <c r="C1214" s="8" t="str">
        <f>"邓发琳"</f>
        <v>邓发琳</v>
      </c>
      <c r="D1214" s="8" t="str">
        <f t="shared" si="486"/>
        <v>女</v>
      </c>
      <c r="E1214" s="7" t="str">
        <f>"460003199203170022"</f>
        <v>460003199203170022</v>
      </c>
      <c r="F1214" s="7" t="str">
        <f>"琼台师范高等专科学校"</f>
        <v>琼台师范高等专科学校</v>
      </c>
      <c r="G1214" s="7" t="str">
        <f>"学前教育专业"</f>
        <v>学前教育专业</v>
      </c>
      <c r="H1214" s="7" t="str">
        <f t="shared" si="492"/>
        <v>专科</v>
      </c>
      <c r="I1214" s="7" t="str">
        <f t="shared" si="472"/>
        <v>幼儿园教师资格</v>
      </c>
    </row>
    <row r="1215" customHeight="1" spans="1:9">
      <c r="A1215" s="6">
        <v>1213</v>
      </c>
      <c r="B1215" s="7" t="s">
        <v>12</v>
      </c>
      <c r="C1215" s="8" t="str">
        <f>"陈婷婷"</f>
        <v>陈婷婷</v>
      </c>
      <c r="D1215" s="8" t="str">
        <f t="shared" si="486"/>
        <v>女</v>
      </c>
      <c r="E1215" s="7" t="str">
        <f>"460033199604182081"</f>
        <v>460033199604182081</v>
      </c>
      <c r="F1215" s="7" t="str">
        <f>"云南丽江师范高等专科学校"</f>
        <v>云南丽江师范高等专科学校</v>
      </c>
      <c r="G1215" s="7" t="str">
        <f t="shared" ref="G1215:G1218" si="494">"学前教育"</f>
        <v>学前教育</v>
      </c>
      <c r="H1215" s="7" t="str">
        <f t="shared" si="492"/>
        <v>专科</v>
      </c>
      <c r="I1215" s="7" t="str">
        <f t="shared" si="472"/>
        <v>幼儿园教师资格</v>
      </c>
    </row>
    <row r="1216" customHeight="1" spans="1:9">
      <c r="A1216" s="6">
        <v>1214</v>
      </c>
      <c r="B1216" s="7" t="s">
        <v>11</v>
      </c>
      <c r="C1216" s="8" t="str">
        <f>"史萍"</f>
        <v>史萍</v>
      </c>
      <c r="D1216" s="8" t="str">
        <f t="shared" si="486"/>
        <v>女</v>
      </c>
      <c r="E1216" s="7" t="str">
        <f>"460033199503120025"</f>
        <v>460033199503120025</v>
      </c>
      <c r="F1216" s="7" t="str">
        <f t="shared" si="493"/>
        <v>琼台师范学院</v>
      </c>
      <c r="G1216" s="7" t="str">
        <f t="shared" si="494"/>
        <v>学前教育</v>
      </c>
      <c r="H1216" s="7" t="str">
        <f t="shared" si="492"/>
        <v>专科</v>
      </c>
      <c r="I1216" s="7" t="str">
        <f t="shared" si="472"/>
        <v>幼儿园教师资格</v>
      </c>
    </row>
    <row r="1217" customHeight="1" spans="1:9">
      <c r="A1217" s="6">
        <v>1215</v>
      </c>
      <c r="B1217" s="7" t="s">
        <v>12</v>
      </c>
      <c r="C1217" s="8" t="str">
        <f>"王玉妹"</f>
        <v>王玉妹</v>
      </c>
      <c r="D1217" s="8" t="str">
        <f t="shared" si="486"/>
        <v>女</v>
      </c>
      <c r="E1217" s="7" t="str">
        <f>"460028199408125644"</f>
        <v>460028199408125644</v>
      </c>
      <c r="F1217" s="7" t="str">
        <f t="shared" si="493"/>
        <v>琼台师范学院</v>
      </c>
      <c r="G1217" s="7" t="str">
        <f t="shared" si="494"/>
        <v>学前教育</v>
      </c>
      <c r="H1217" s="7" t="str">
        <f>"专科(高职)"</f>
        <v>专科(高职)</v>
      </c>
      <c r="I1217" s="7" t="str">
        <f t="shared" ref="I1217:I1280" si="495">"幼儿园教师资格"</f>
        <v>幼儿园教师资格</v>
      </c>
    </row>
    <row r="1218" customHeight="1" spans="1:9">
      <c r="A1218" s="6">
        <v>1216</v>
      </c>
      <c r="B1218" s="7" t="s">
        <v>12</v>
      </c>
      <c r="C1218" s="8" t="str">
        <f>"符丁女"</f>
        <v>符丁女</v>
      </c>
      <c r="D1218" s="8" t="str">
        <f t="shared" si="486"/>
        <v>女</v>
      </c>
      <c r="E1218" s="7" t="str">
        <f>"460006199312032728"</f>
        <v>460006199312032728</v>
      </c>
      <c r="F1218" s="7" t="str">
        <f t="shared" si="493"/>
        <v>琼台师范学院</v>
      </c>
      <c r="G1218" s="7" t="str">
        <f t="shared" si="494"/>
        <v>学前教育</v>
      </c>
      <c r="H1218" s="7" t="str">
        <f t="shared" ref="H1218:H1221" si="496">"专科"</f>
        <v>专科</v>
      </c>
      <c r="I1218" s="7" t="str">
        <f t="shared" si="495"/>
        <v>幼儿园教师资格</v>
      </c>
    </row>
    <row r="1219" customHeight="1" spans="1:9">
      <c r="A1219" s="6">
        <v>1217</v>
      </c>
      <c r="B1219" s="7" t="s">
        <v>10</v>
      </c>
      <c r="C1219" s="8" t="str">
        <f>"柏平红"</f>
        <v>柏平红</v>
      </c>
      <c r="D1219" s="8" t="str">
        <f t="shared" si="486"/>
        <v>女</v>
      </c>
      <c r="E1219" s="7" t="str">
        <f>"460031199610014823"</f>
        <v>460031199610014823</v>
      </c>
      <c r="F1219" s="7" t="str">
        <f>"海南热带海洋学院"</f>
        <v>海南热带海洋学院</v>
      </c>
      <c r="G1219" s="7" t="str">
        <f>"学前教育(语文）方向"</f>
        <v>学前教育(语文）方向</v>
      </c>
      <c r="H1219" s="7" t="str">
        <f t="shared" si="496"/>
        <v>专科</v>
      </c>
      <c r="I1219" s="7" t="str">
        <f t="shared" si="495"/>
        <v>幼儿园教师资格</v>
      </c>
    </row>
    <row r="1220" customHeight="1" spans="1:9">
      <c r="A1220" s="6">
        <v>1218</v>
      </c>
      <c r="B1220" s="7" t="s">
        <v>10</v>
      </c>
      <c r="C1220" s="8" t="str">
        <f>"林菜"</f>
        <v>林菜</v>
      </c>
      <c r="D1220" s="8" t="str">
        <f t="shared" si="486"/>
        <v>女</v>
      </c>
      <c r="E1220" s="7" t="str">
        <f>"460028198912091223"</f>
        <v>460028198912091223</v>
      </c>
      <c r="F1220" s="7" t="str">
        <f>"琼台师范高等专科学校"</f>
        <v>琼台师范高等专科学校</v>
      </c>
      <c r="G1220" s="7" t="str">
        <f t="shared" ref="G1220:G1229" si="497">"学前教育"</f>
        <v>学前教育</v>
      </c>
      <c r="H1220" s="7" t="str">
        <f t="shared" si="496"/>
        <v>专科</v>
      </c>
      <c r="I1220" s="7" t="str">
        <f t="shared" si="495"/>
        <v>幼儿园教师资格</v>
      </c>
    </row>
    <row r="1221" customHeight="1" spans="1:9">
      <c r="A1221" s="6">
        <v>1219</v>
      </c>
      <c r="B1221" s="7" t="s">
        <v>11</v>
      </c>
      <c r="C1221" s="8" t="str">
        <f>"王桂珠"</f>
        <v>王桂珠</v>
      </c>
      <c r="D1221" s="8" t="str">
        <f t="shared" si="486"/>
        <v>女</v>
      </c>
      <c r="E1221" s="7" t="str">
        <f>"460028199810275624"</f>
        <v>460028199810275624</v>
      </c>
      <c r="F1221" s="7" t="str">
        <f t="shared" ref="F1221:F1224" si="498">"琼台师范学院"</f>
        <v>琼台师范学院</v>
      </c>
      <c r="G1221" s="7" t="str">
        <f t="shared" si="497"/>
        <v>学前教育</v>
      </c>
      <c r="H1221" s="7" t="str">
        <f t="shared" si="496"/>
        <v>专科</v>
      </c>
      <c r="I1221" s="7" t="str">
        <f t="shared" si="495"/>
        <v>幼儿园教师资格</v>
      </c>
    </row>
    <row r="1222" customHeight="1" spans="1:9">
      <c r="A1222" s="6">
        <v>1220</v>
      </c>
      <c r="B1222" s="7" t="s">
        <v>10</v>
      </c>
      <c r="C1222" s="8" t="str">
        <f>"纪欢桐"</f>
        <v>纪欢桐</v>
      </c>
      <c r="D1222" s="8" t="str">
        <f t="shared" si="486"/>
        <v>女</v>
      </c>
      <c r="E1222" s="7" t="str">
        <f>"152104199708110624"</f>
        <v>152104199708110624</v>
      </c>
      <c r="F1222" s="7" t="str">
        <f>"内蒙古师范大学"</f>
        <v>内蒙古师范大学</v>
      </c>
      <c r="G1222" s="7" t="str">
        <f t="shared" si="497"/>
        <v>学前教育</v>
      </c>
      <c r="H1222" s="7" t="str">
        <f>"本科"</f>
        <v>本科</v>
      </c>
      <c r="I1222" s="7" t="str">
        <f t="shared" si="495"/>
        <v>幼儿园教师资格</v>
      </c>
    </row>
    <row r="1223" customHeight="1" spans="1:9">
      <c r="A1223" s="6">
        <v>1221</v>
      </c>
      <c r="B1223" s="7" t="s">
        <v>10</v>
      </c>
      <c r="C1223" s="8" t="str">
        <f>"王德红"</f>
        <v>王德红</v>
      </c>
      <c r="D1223" s="8" t="str">
        <f t="shared" si="486"/>
        <v>女</v>
      </c>
      <c r="E1223" s="7" t="str">
        <f>"460027199407265681"</f>
        <v>460027199407265681</v>
      </c>
      <c r="F1223" s="7" t="str">
        <f t="shared" si="498"/>
        <v>琼台师范学院</v>
      </c>
      <c r="G1223" s="7" t="str">
        <f t="shared" si="497"/>
        <v>学前教育</v>
      </c>
      <c r="H1223" s="7" t="str">
        <f t="shared" ref="H1223:H1225" si="499">"专科"</f>
        <v>专科</v>
      </c>
      <c r="I1223" s="7" t="str">
        <f t="shared" si="495"/>
        <v>幼儿园教师资格</v>
      </c>
    </row>
    <row r="1224" customHeight="1" spans="1:9">
      <c r="A1224" s="6">
        <v>1222</v>
      </c>
      <c r="B1224" s="7" t="s">
        <v>10</v>
      </c>
      <c r="C1224" s="8" t="str">
        <f>"林天妍"</f>
        <v>林天妍</v>
      </c>
      <c r="D1224" s="8" t="str">
        <f t="shared" si="486"/>
        <v>女</v>
      </c>
      <c r="E1224" s="7" t="str">
        <f>"460025199812173323"</f>
        <v>460025199812173323</v>
      </c>
      <c r="F1224" s="7" t="str">
        <f t="shared" si="498"/>
        <v>琼台师范学院</v>
      </c>
      <c r="G1224" s="7" t="str">
        <f t="shared" si="497"/>
        <v>学前教育</v>
      </c>
      <c r="H1224" s="7" t="str">
        <f t="shared" si="499"/>
        <v>专科</v>
      </c>
      <c r="I1224" s="7" t="str">
        <f t="shared" si="495"/>
        <v>幼儿园教师资格</v>
      </c>
    </row>
    <row r="1225" customHeight="1" spans="1:9">
      <c r="A1225" s="6">
        <v>1223</v>
      </c>
      <c r="B1225" s="7" t="s">
        <v>11</v>
      </c>
      <c r="C1225" s="8" t="str">
        <f>"方晶"</f>
        <v>方晶</v>
      </c>
      <c r="D1225" s="8" t="str">
        <f t="shared" si="486"/>
        <v>女</v>
      </c>
      <c r="E1225" s="7" t="str">
        <f>"460026199511211820"</f>
        <v>460026199511211820</v>
      </c>
      <c r="F1225" s="7" t="str">
        <f>"海南热带海洋学院"</f>
        <v>海南热带海洋学院</v>
      </c>
      <c r="G1225" s="7" t="str">
        <f t="shared" si="497"/>
        <v>学前教育</v>
      </c>
      <c r="H1225" s="7" t="str">
        <f t="shared" si="499"/>
        <v>专科</v>
      </c>
      <c r="I1225" s="7" t="str">
        <f t="shared" si="495"/>
        <v>幼儿园教师资格</v>
      </c>
    </row>
    <row r="1226" customHeight="1" spans="1:9">
      <c r="A1226" s="6">
        <v>1224</v>
      </c>
      <c r="B1226" s="7" t="s">
        <v>10</v>
      </c>
      <c r="C1226" s="8" t="str">
        <f>"梁美晨"</f>
        <v>梁美晨</v>
      </c>
      <c r="D1226" s="8" t="str">
        <f t="shared" si="486"/>
        <v>女</v>
      </c>
      <c r="E1226" s="7" t="str">
        <f>"460005199908164127"</f>
        <v>460005199908164127</v>
      </c>
      <c r="F1226" s="7" t="str">
        <f t="shared" ref="F1226:F1229" si="500">"琼台师范学院"</f>
        <v>琼台师范学院</v>
      </c>
      <c r="G1226" s="7" t="str">
        <f t="shared" si="497"/>
        <v>学前教育</v>
      </c>
      <c r="H1226" s="7" t="str">
        <f>"专科(高职)"</f>
        <v>专科(高职)</v>
      </c>
      <c r="I1226" s="7" t="str">
        <f t="shared" si="495"/>
        <v>幼儿园教师资格</v>
      </c>
    </row>
    <row r="1227" customHeight="1" spans="1:9">
      <c r="A1227" s="6">
        <v>1225</v>
      </c>
      <c r="B1227" s="7" t="s">
        <v>10</v>
      </c>
      <c r="C1227" s="8" t="str">
        <f>"王慧莹"</f>
        <v>王慧莹</v>
      </c>
      <c r="D1227" s="8" t="str">
        <f t="shared" si="486"/>
        <v>女</v>
      </c>
      <c r="E1227" s="7" t="str">
        <f>"460028199705245626"</f>
        <v>460028199705245626</v>
      </c>
      <c r="F1227" s="7" t="str">
        <f t="shared" si="500"/>
        <v>琼台师范学院</v>
      </c>
      <c r="G1227" s="7" t="str">
        <f t="shared" si="497"/>
        <v>学前教育</v>
      </c>
      <c r="H1227" s="7" t="str">
        <f t="shared" ref="H1227:H1232" si="501">"专科"</f>
        <v>专科</v>
      </c>
      <c r="I1227" s="7" t="str">
        <f t="shared" si="495"/>
        <v>幼儿园教师资格</v>
      </c>
    </row>
    <row r="1228" customHeight="1" spans="1:9">
      <c r="A1228" s="6">
        <v>1226</v>
      </c>
      <c r="B1228" s="7" t="s">
        <v>10</v>
      </c>
      <c r="C1228" s="8" t="str">
        <f>"李婷"</f>
        <v>李婷</v>
      </c>
      <c r="D1228" s="8" t="str">
        <f t="shared" si="486"/>
        <v>女</v>
      </c>
      <c r="E1228" s="7" t="str">
        <f>"44020319940910612X"</f>
        <v>44020319940910612X</v>
      </c>
      <c r="F1228" s="7" t="str">
        <f>"江汉艺术职业学院"</f>
        <v>江汉艺术职业学院</v>
      </c>
      <c r="G1228" s="7" t="str">
        <f t="shared" si="497"/>
        <v>学前教育</v>
      </c>
      <c r="H1228" s="7" t="str">
        <f t="shared" si="501"/>
        <v>专科</v>
      </c>
      <c r="I1228" s="7" t="str">
        <f t="shared" si="495"/>
        <v>幼儿园教师资格</v>
      </c>
    </row>
    <row r="1229" customHeight="1" spans="1:9">
      <c r="A1229" s="6">
        <v>1227</v>
      </c>
      <c r="B1229" s="7" t="s">
        <v>12</v>
      </c>
      <c r="C1229" s="8" t="str">
        <f>"吴佳玲"</f>
        <v>吴佳玲</v>
      </c>
      <c r="D1229" s="8" t="str">
        <f t="shared" si="486"/>
        <v>女</v>
      </c>
      <c r="E1229" s="7" t="str">
        <f>"460004199609273829"</f>
        <v>460004199609273829</v>
      </c>
      <c r="F1229" s="7" t="str">
        <f t="shared" si="500"/>
        <v>琼台师范学院</v>
      </c>
      <c r="G1229" s="7" t="str">
        <f t="shared" si="497"/>
        <v>学前教育</v>
      </c>
      <c r="H1229" s="7" t="str">
        <f t="shared" si="501"/>
        <v>专科</v>
      </c>
      <c r="I1229" s="7" t="str">
        <f t="shared" si="495"/>
        <v>幼儿园教师资格</v>
      </c>
    </row>
    <row r="1230" customHeight="1" spans="1:9">
      <c r="A1230" s="6">
        <v>1228</v>
      </c>
      <c r="B1230" s="7" t="s">
        <v>12</v>
      </c>
      <c r="C1230" s="8" t="str">
        <f>"罗婷"</f>
        <v>罗婷</v>
      </c>
      <c r="D1230" s="8" t="str">
        <f t="shared" si="486"/>
        <v>女</v>
      </c>
      <c r="E1230" s="7" t="str">
        <f>"460033199707246586"</f>
        <v>460033199707246586</v>
      </c>
      <c r="F1230" s="7" t="str">
        <f>"海南热带海洋学院"</f>
        <v>海南热带海洋学院</v>
      </c>
      <c r="G1230" s="7" t="str">
        <f>"学前英语教育（英语）"</f>
        <v>学前英语教育（英语）</v>
      </c>
      <c r="H1230" s="7" t="str">
        <f t="shared" si="501"/>
        <v>专科</v>
      </c>
      <c r="I1230" s="7" t="str">
        <f t="shared" si="495"/>
        <v>幼儿园教师资格</v>
      </c>
    </row>
    <row r="1231" customHeight="1" spans="1:9">
      <c r="A1231" s="6">
        <v>1229</v>
      </c>
      <c r="B1231" s="7" t="s">
        <v>10</v>
      </c>
      <c r="C1231" s="8" t="str">
        <f>"文婉玲"</f>
        <v>文婉玲</v>
      </c>
      <c r="D1231" s="8" t="str">
        <f t="shared" si="486"/>
        <v>女</v>
      </c>
      <c r="E1231" s="7" t="str">
        <f>"430581199601064285"</f>
        <v>430581199601064285</v>
      </c>
      <c r="F1231" s="7" t="str">
        <f>"琼台师范学院"</f>
        <v>琼台师范学院</v>
      </c>
      <c r="G1231" s="7" t="str">
        <f>"学前教育（英语教育方向）"</f>
        <v>学前教育（英语教育方向）</v>
      </c>
      <c r="H1231" s="7" t="str">
        <f t="shared" si="501"/>
        <v>专科</v>
      </c>
      <c r="I1231" s="7" t="str">
        <f t="shared" si="495"/>
        <v>幼儿园教师资格</v>
      </c>
    </row>
    <row r="1232" customHeight="1" spans="1:9">
      <c r="A1232" s="6">
        <v>1230</v>
      </c>
      <c r="B1232" s="7" t="s">
        <v>11</v>
      </c>
      <c r="C1232" s="8" t="str">
        <f>"陈夏兰"</f>
        <v>陈夏兰</v>
      </c>
      <c r="D1232" s="8" t="str">
        <f t="shared" si="486"/>
        <v>女</v>
      </c>
      <c r="E1232" s="7" t="str">
        <f>"46000419950530482X"</f>
        <v>46000419950530482X</v>
      </c>
      <c r="F1232" s="7" t="str">
        <f>"琼台师范学院"</f>
        <v>琼台师范学院</v>
      </c>
      <c r="G1232" s="7" t="str">
        <f t="shared" ref="G1232:G1240" si="502">"学前教育"</f>
        <v>学前教育</v>
      </c>
      <c r="H1232" s="7" t="str">
        <f t="shared" si="501"/>
        <v>专科</v>
      </c>
      <c r="I1232" s="7" t="str">
        <f t="shared" si="495"/>
        <v>幼儿园教师资格</v>
      </c>
    </row>
    <row r="1233" customHeight="1" spans="1:9">
      <c r="A1233" s="6">
        <v>1231</v>
      </c>
      <c r="B1233" s="7" t="s">
        <v>10</v>
      </c>
      <c r="C1233" s="8" t="str">
        <f>"陈妹"</f>
        <v>陈妹</v>
      </c>
      <c r="D1233" s="8" t="str">
        <f t="shared" si="486"/>
        <v>女</v>
      </c>
      <c r="E1233" s="7" t="str">
        <f>"460005199609220045"</f>
        <v>460005199609220045</v>
      </c>
      <c r="F1233" s="7" t="str">
        <f>"广西民族师范学院"</f>
        <v>广西民族师范学院</v>
      </c>
      <c r="G1233" s="7" t="str">
        <f t="shared" si="502"/>
        <v>学前教育</v>
      </c>
      <c r="H1233" s="7" t="str">
        <f>"本科"</f>
        <v>本科</v>
      </c>
      <c r="I1233" s="7" t="str">
        <f t="shared" si="495"/>
        <v>幼儿园教师资格</v>
      </c>
    </row>
    <row r="1234" customHeight="1" spans="1:9">
      <c r="A1234" s="6">
        <v>1232</v>
      </c>
      <c r="B1234" s="7" t="s">
        <v>11</v>
      </c>
      <c r="C1234" s="8" t="str">
        <f>"周惠琴"</f>
        <v>周惠琴</v>
      </c>
      <c r="D1234" s="8" t="str">
        <f t="shared" si="486"/>
        <v>女</v>
      </c>
      <c r="E1234" s="7" t="str">
        <f>"460104199308210643"</f>
        <v>460104199308210643</v>
      </c>
      <c r="F1234" s="7" t="str">
        <f>"云南省师范大学商学院"</f>
        <v>云南省师范大学商学院</v>
      </c>
      <c r="G1234" s="7" t="str">
        <f t="shared" si="502"/>
        <v>学前教育</v>
      </c>
      <c r="H1234" s="7" t="str">
        <f>"本科"</f>
        <v>本科</v>
      </c>
      <c r="I1234" s="7" t="str">
        <f t="shared" si="495"/>
        <v>幼儿园教师资格</v>
      </c>
    </row>
    <row r="1235" customHeight="1" spans="1:9">
      <c r="A1235" s="6">
        <v>1233</v>
      </c>
      <c r="B1235" s="7" t="s">
        <v>12</v>
      </c>
      <c r="C1235" s="8" t="str">
        <f>"王蕾"</f>
        <v>王蕾</v>
      </c>
      <c r="D1235" s="8" t="str">
        <f t="shared" si="486"/>
        <v>女</v>
      </c>
      <c r="E1235" s="7" t="str">
        <f>"460004199602195223"</f>
        <v>460004199602195223</v>
      </c>
      <c r="F1235" s="7" t="str">
        <f>"海南师范大学"</f>
        <v>海南师范大学</v>
      </c>
      <c r="G1235" s="7" t="str">
        <f t="shared" si="502"/>
        <v>学前教育</v>
      </c>
      <c r="H1235" s="7" t="str">
        <f t="shared" ref="H1235:H1238" si="503">"专科"</f>
        <v>专科</v>
      </c>
      <c r="I1235" s="7" t="str">
        <f t="shared" si="495"/>
        <v>幼儿园教师资格</v>
      </c>
    </row>
    <row r="1236" customHeight="1" spans="1:9">
      <c r="A1236" s="6">
        <v>1234</v>
      </c>
      <c r="B1236" s="7" t="s">
        <v>11</v>
      </c>
      <c r="C1236" s="8" t="str">
        <f>"郑志霞"</f>
        <v>郑志霞</v>
      </c>
      <c r="D1236" s="8" t="str">
        <f t="shared" si="486"/>
        <v>女</v>
      </c>
      <c r="E1236" s="7" t="str">
        <f>"460003199604024827"</f>
        <v>460003199604024827</v>
      </c>
      <c r="F1236" s="7" t="str">
        <f>"湖北大学"</f>
        <v>湖北大学</v>
      </c>
      <c r="G1236" s="7" t="str">
        <f t="shared" si="502"/>
        <v>学前教育</v>
      </c>
      <c r="H1236" s="7" t="str">
        <f t="shared" si="503"/>
        <v>专科</v>
      </c>
      <c r="I1236" s="7" t="str">
        <f t="shared" si="495"/>
        <v>幼儿园教师资格</v>
      </c>
    </row>
    <row r="1237" customHeight="1" spans="1:9">
      <c r="A1237" s="6">
        <v>1235</v>
      </c>
      <c r="B1237" s="7" t="s">
        <v>11</v>
      </c>
      <c r="C1237" s="8" t="str">
        <f>"杜少妹"</f>
        <v>杜少妹</v>
      </c>
      <c r="D1237" s="8" t="str">
        <f t="shared" si="486"/>
        <v>女</v>
      </c>
      <c r="E1237" s="7" t="str">
        <f>"460022199401014126"</f>
        <v>460022199401014126</v>
      </c>
      <c r="F1237" s="7" t="str">
        <f>"江西萍乡学院"</f>
        <v>江西萍乡学院</v>
      </c>
      <c r="G1237" s="7" t="str">
        <f t="shared" si="502"/>
        <v>学前教育</v>
      </c>
      <c r="H1237" s="7" t="str">
        <f t="shared" si="503"/>
        <v>专科</v>
      </c>
      <c r="I1237" s="7" t="str">
        <f t="shared" si="495"/>
        <v>幼儿园教师资格</v>
      </c>
    </row>
    <row r="1238" customHeight="1" spans="1:9">
      <c r="A1238" s="6">
        <v>1236</v>
      </c>
      <c r="B1238" s="7" t="s">
        <v>10</v>
      </c>
      <c r="C1238" s="8" t="str">
        <f>"高怡婷"</f>
        <v>高怡婷</v>
      </c>
      <c r="D1238" s="8" t="str">
        <f t="shared" si="486"/>
        <v>女</v>
      </c>
      <c r="E1238" s="7" t="str">
        <f>"62052119951106204X"</f>
        <v>62052119951106204X</v>
      </c>
      <c r="F1238" s="7" t="str">
        <f>"琼台师范学院"</f>
        <v>琼台师范学院</v>
      </c>
      <c r="G1238" s="7" t="str">
        <f t="shared" si="502"/>
        <v>学前教育</v>
      </c>
      <c r="H1238" s="7" t="str">
        <f t="shared" si="503"/>
        <v>专科</v>
      </c>
      <c r="I1238" s="7" t="str">
        <f t="shared" si="495"/>
        <v>幼儿园教师资格</v>
      </c>
    </row>
    <row r="1239" customHeight="1" spans="1:9">
      <c r="A1239" s="6">
        <v>1237</v>
      </c>
      <c r="B1239" s="7" t="s">
        <v>10</v>
      </c>
      <c r="C1239" s="8" t="str">
        <f>"陈宁慧"</f>
        <v>陈宁慧</v>
      </c>
      <c r="D1239" s="8" t="str">
        <f t="shared" si="486"/>
        <v>女</v>
      </c>
      <c r="E1239" s="7" t="str">
        <f>"460033199701265081"</f>
        <v>460033199701265081</v>
      </c>
      <c r="F1239" s="7" t="str">
        <f>"忻州师范学院"</f>
        <v>忻州师范学院</v>
      </c>
      <c r="G1239" s="7" t="str">
        <f t="shared" si="502"/>
        <v>学前教育</v>
      </c>
      <c r="H1239" s="7" t="str">
        <f>"本科"</f>
        <v>本科</v>
      </c>
      <c r="I1239" s="7" t="str">
        <f t="shared" si="495"/>
        <v>幼儿园教师资格</v>
      </c>
    </row>
    <row r="1240" customHeight="1" spans="1:9">
      <c r="A1240" s="6">
        <v>1238</v>
      </c>
      <c r="B1240" s="7" t="s">
        <v>10</v>
      </c>
      <c r="C1240" s="8" t="str">
        <f>"陈月姣"</f>
        <v>陈月姣</v>
      </c>
      <c r="D1240" s="8" t="str">
        <f t="shared" si="486"/>
        <v>女</v>
      </c>
      <c r="E1240" s="7" t="str">
        <f>"460028199506057227"</f>
        <v>460028199506057227</v>
      </c>
      <c r="F1240" s="7" t="str">
        <f t="shared" ref="F1240:F1245" si="504">"琼台师范学院"</f>
        <v>琼台师范学院</v>
      </c>
      <c r="G1240" s="7" t="str">
        <f t="shared" si="502"/>
        <v>学前教育</v>
      </c>
      <c r="H1240" s="7" t="str">
        <f t="shared" ref="H1240:H1244" si="505">"专科"</f>
        <v>专科</v>
      </c>
      <c r="I1240" s="7" t="str">
        <f t="shared" si="495"/>
        <v>幼儿园教师资格</v>
      </c>
    </row>
    <row r="1241" customHeight="1" spans="1:9">
      <c r="A1241" s="6">
        <v>1239</v>
      </c>
      <c r="B1241" s="7" t="s">
        <v>11</v>
      </c>
      <c r="C1241" s="8" t="str">
        <f>"谢维联"</f>
        <v>谢维联</v>
      </c>
      <c r="D1241" s="8" t="str">
        <f t="shared" si="486"/>
        <v>女</v>
      </c>
      <c r="E1241" s="7" t="str">
        <f>"46000319970607266X"</f>
        <v>46000319970607266X</v>
      </c>
      <c r="F1241" s="7" t="str">
        <f>"海南热带海洋学院"</f>
        <v>海南热带海洋学院</v>
      </c>
      <c r="G1241" s="7" t="str">
        <f>"学前教育（数学方向））"</f>
        <v>学前教育（数学方向））</v>
      </c>
      <c r="H1241" s="7" t="str">
        <f t="shared" si="505"/>
        <v>专科</v>
      </c>
      <c r="I1241" s="7" t="str">
        <f t="shared" si="495"/>
        <v>幼儿园教师资格</v>
      </c>
    </row>
    <row r="1242" customHeight="1" spans="1:9">
      <c r="A1242" s="6">
        <v>1240</v>
      </c>
      <c r="B1242" s="7" t="s">
        <v>10</v>
      </c>
      <c r="C1242" s="8" t="str">
        <f>"陈亚杏"</f>
        <v>陈亚杏</v>
      </c>
      <c r="D1242" s="8" t="str">
        <f t="shared" si="486"/>
        <v>女</v>
      </c>
      <c r="E1242" s="7" t="str">
        <f>"46003419920710182X"</f>
        <v>46003419920710182X</v>
      </c>
      <c r="F1242" s="7" t="str">
        <f>"琼台师范幼儿师范学院"</f>
        <v>琼台师范幼儿师范学院</v>
      </c>
      <c r="G1242" s="7" t="str">
        <f t="shared" ref="G1242:G1247" si="506">"学前教育"</f>
        <v>学前教育</v>
      </c>
      <c r="H1242" s="7" t="str">
        <f t="shared" si="505"/>
        <v>专科</v>
      </c>
      <c r="I1242" s="7" t="str">
        <f t="shared" si="495"/>
        <v>幼儿园教师资格</v>
      </c>
    </row>
    <row r="1243" customHeight="1" spans="1:9">
      <c r="A1243" s="6">
        <v>1241</v>
      </c>
      <c r="B1243" s="7" t="s">
        <v>12</v>
      </c>
      <c r="C1243" s="8" t="str">
        <f>"王慧珍"</f>
        <v>王慧珍</v>
      </c>
      <c r="D1243" s="8" t="str">
        <f t="shared" si="486"/>
        <v>女</v>
      </c>
      <c r="E1243" s="7" t="str">
        <f>"46002719910112232X"</f>
        <v>46002719910112232X</v>
      </c>
      <c r="F1243" s="7" t="str">
        <f t="shared" ref="F1243:F1247" si="507">"琼台师范高等专科学校"</f>
        <v>琼台师范高等专科学校</v>
      </c>
      <c r="G1243" s="7" t="str">
        <f t="shared" si="506"/>
        <v>学前教育</v>
      </c>
      <c r="H1243" s="7" t="str">
        <f t="shared" si="505"/>
        <v>专科</v>
      </c>
      <c r="I1243" s="7" t="str">
        <f t="shared" si="495"/>
        <v>幼儿园教师资格</v>
      </c>
    </row>
    <row r="1244" customHeight="1" spans="1:9">
      <c r="A1244" s="6">
        <v>1242</v>
      </c>
      <c r="B1244" s="7" t="s">
        <v>12</v>
      </c>
      <c r="C1244" s="8" t="str">
        <f>"陈勇霖"</f>
        <v>陈勇霖</v>
      </c>
      <c r="D1244" s="8" t="str">
        <f>"男"</f>
        <v>男</v>
      </c>
      <c r="E1244" s="7" t="str">
        <f>"460025199201250035"</f>
        <v>460025199201250035</v>
      </c>
      <c r="F1244" s="7" t="str">
        <f t="shared" si="504"/>
        <v>琼台师范学院</v>
      </c>
      <c r="G1244" s="7" t="str">
        <f t="shared" si="506"/>
        <v>学前教育</v>
      </c>
      <c r="H1244" s="7" t="str">
        <f t="shared" si="505"/>
        <v>专科</v>
      </c>
      <c r="I1244" s="7" t="str">
        <f t="shared" si="495"/>
        <v>幼儿园教师资格</v>
      </c>
    </row>
    <row r="1245" customHeight="1" spans="1:9">
      <c r="A1245" s="6">
        <v>1243</v>
      </c>
      <c r="B1245" s="7" t="s">
        <v>12</v>
      </c>
      <c r="C1245" s="8" t="str">
        <f>"羊世妍"</f>
        <v>羊世妍</v>
      </c>
      <c r="D1245" s="8" t="str">
        <f t="shared" ref="D1245:D1297" si="508">"女"</f>
        <v>女</v>
      </c>
      <c r="E1245" s="7" t="str">
        <f>"460003199008016644"</f>
        <v>460003199008016644</v>
      </c>
      <c r="F1245" s="7" t="str">
        <f t="shared" si="504"/>
        <v>琼台师范学院</v>
      </c>
      <c r="G1245" s="7" t="str">
        <f t="shared" si="506"/>
        <v>学前教育</v>
      </c>
      <c r="H1245" s="7" t="str">
        <f>"专科(高职)"</f>
        <v>专科(高职)</v>
      </c>
      <c r="I1245" s="7" t="str">
        <f t="shared" si="495"/>
        <v>幼儿园教师资格</v>
      </c>
    </row>
    <row r="1246" customHeight="1" spans="1:9">
      <c r="A1246" s="6">
        <v>1244</v>
      </c>
      <c r="B1246" s="7" t="s">
        <v>10</v>
      </c>
      <c r="C1246" s="8" t="str">
        <f>"周后丽"</f>
        <v>周后丽</v>
      </c>
      <c r="D1246" s="8" t="str">
        <f t="shared" si="508"/>
        <v>女</v>
      </c>
      <c r="E1246" s="7" t="str">
        <f>"460033199401094866"</f>
        <v>460033199401094866</v>
      </c>
      <c r="F1246" s="7" t="str">
        <f t="shared" si="507"/>
        <v>琼台师范高等专科学校</v>
      </c>
      <c r="G1246" s="7" t="str">
        <f t="shared" si="506"/>
        <v>学前教育</v>
      </c>
      <c r="H1246" s="7" t="str">
        <f t="shared" ref="H1246:H1248" si="509">"专科"</f>
        <v>专科</v>
      </c>
      <c r="I1246" s="7" t="str">
        <f t="shared" si="495"/>
        <v>幼儿园教师资格</v>
      </c>
    </row>
    <row r="1247" customHeight="1" spans="1:9">
      <c r="A1247" s="6">
        <v>1245</v>
      </c>
      <c r="B1247" s="7" t="s">
        <v>12</v>
      </c>
      <c r="C1247" s="8" t="str">
        <f>"罗传星"</f>
        <v>罗传星</v>
      </c>
      <c r="D1247" s="8" t="str">
        <f t="shared" si="508"/>
        <v>女</v>
      </c>
      <c r="E1247" s="7" t="str">
        <f>"46003319930811448X"</f>
        <v>46003319930811448X</v>
      </c>
      <c r="F1247" s="7" t="str">
        <f t="shared" si="507"/>
        <v>琼台师范高等专科学校</v>
      </c>
      <c r="G1247" s="7" t="str">
        <f t="shared" si="506"/>
        <v>学前教育</v>
      </c>
      <c r="H1247" s="7" t="str">
        <f t="shared" si="509"/>
        <v>专科</v>
      </c>
      <c r="I1247" s="7" t="str">
        <f t="shared" si="495"/>
        <v>幼儿园教师资格</v>
      </c>
    </row>
    <row r="1248" customHeight="1" spans="1:9">
      <c r="A1248" s="6">
        <v>1246</v>
      </c>
      <c r="B1248" s="7" t="s">
        <v>10</v>
      </c>
      <c r="C1248" s="8" t="str">
        <f>"黎夏杉"</f>
        <v>黎夏杉</v>
      </c>
      <c r="D1248" s="8" t="str">
        <f t="shared" si="508"/>
        <v>女</v>
      </c>
      <c r="E1248" s="7" t="str">
        <f>"460004199510250846"</f>
        <v>460004199510250846</v>
      </c>
      <c r="F1248" s="7" t="str">
        <f>"琼台师范学院"</f>
        <v>琼台师范学院</v>
      </c>
      <c r="G1248" s="7" t="str">
        <f>"学期教育"</f>
        <v>学期教育</v>
      </c>
      <c r="H1248" s="7" t="str">
        <f t="shared" si="509"/>
        <v>专科</v>
      </c>
      <c r="I1248" s="7" t="str">
        <f t="shared" si="495"/>
        <v>幼儿园教师资格</v>
      </c>
    </row>
    <row r="1249" customHeight="1" spans="1:9">
      <c r="A1249" s="6">
        <v>1247</v>
      </c>
      <c r="B1249" s="7" t="s">
        <v>11</v>
      </c>
      <c r="C1249" s="8" t="str">
        <f>"林佳佳"</f>
        <v>林佳佳</v>
      </c>
      <c r="D1249" s="8" t="str">
        <f t="shared" si="508"/>
        <v>女</v>
      </c>
      <c r="E1249" s="7" t="str">
        <f>"460031199407131223"</f>
        <v>460031199407131223</v>
      </c>
      <c r="F1249" s="7" t="str">
        <f>"海南师范大学"</f>
        <v>海南师范大学</v>
      </c>
      <c r="G1249" s="7" t="str">
        <f t="shared" ref="G1249:G1259" si="510">"学前教育"</f>
        <v>学前教育</v>
      </c>
      <c r="H1249" s="7" t="str">
        <f>"本科"</f>
        <v>本科</v>
      </c>
      <c r="I1249" s="7" t="str">
        <f t="shared" si="495"/>
        <v>幼儿园教师资格</v>
      </c>
    </row>
    <row r="1250" customHeight="1" spans="1:9">
      <c r="A1250" s="6">
        <v>1248</v>
      </c>
      <c r="B1250" s="7" t="s">
        <v>12</v>
      </c>
      <c r="C1250" s="8" t="str">
        <f>"黄丽婷"</f>
        <v>黄丽婷</v>
      </c>
      <c r="D1250" s="8" t="str">
        <f t="shared" si="508"/>
        <v>女</v>
      </c>
      <c r="E1250" s="7" t="str">
        <f>"460035199501242320"</f>
        <v>460035199501242320</v>
      </c>
      <c r="F1250" s="7" t="str">
        <f>"海南师范大学"</f>
        <v>海南师范大学</v>
      </c>
      <c r="G1250" s="7" t="str">
        <f t="shared" si="510"/>
        <v>学前教育</v>
      </c>
      <c r="H1250" s="7" t="str">
        <f t="shared" ref="H1250:H1258" si="511">"专科"</f>
        <v>专科</v>
      </c>
      <c r="I1250" s="7" t="str">
        <f t="shared" si="495"/>
        <v>幼儿园教师资格</v>
      </c>
    </row>
    <row r="1251" customHeight="1" spans="1:9">
      <c r="A1251" s="6">
        <v>1249</v>
      </c>
      <c r="B1251" s="7" t="s">
        <v>10</v>
      </c>
      <c r="C1251" s="8" t="str">
        <f>"王晓倩"</f>
        <v>王晓倩</v>
      </c>
      <c r="D1251" s="8" t="str">
        <f t="shared" si="508"/>
        <v>女</v>
      </c>
      <c r="E1251" s="7" t="str">
        <f>"460032199406176207"</f>
        <v>460032199406176207</v>
      </c>
      <c r="F1251" s="7" t="str">
        <f>"热带海洋学院"</f>
        <v>热带海洋学院</v>
      </c>
      <c r="G1251" s="7" t="str">
        <f t="shared" si="510"/>
        <v>学前教育</v>
      </c>
      <c r="H1251" s="7" t="str">
        <f t="shared" si="511"/>
        <v>专科</v>
      </c>
      <c r="I1251" s="7" t="str">
        <f t="shared" si="495"/>
        <v>幼儿园教师资格</v>
      </c>
    </row>
    <row r="1252" customHeight="1" spans="1:9">
      <c r="A1252" s="6">
        <v>1250</v>
      </c>
      <c r="B1252" s="7" t="s">
        <v>10</v>
      </c>
      <c r="C1252" s="8" t="str">
        <f>"李秋萍"</f>
        <v>李秋萍</v>
      </c>
      <c r="D1252" s="8" t="str">
        <f t="shared" si="508"/>
        <v>女</v>
      </c>
      <c r="E1252" s="7" t="str">
        <f>"460003199508072861"</f>
        <v>460003199508072861</v>
      </c>
      <c r="F1252" s="7" t="str">
        <f>"忻州师范学院"</f>
        <v>忻州师范学院</v>
      </c>
      <c r="G1252" s="7" t="str">
        <f t="shared" si="510"/>
        <v>学前教育</v>
      </c>
      <c r="H1252" s="7" t="str">
        <f>"本科"</f>
        <v>本科</v>
      </c>
      <c r="I1252" s="7" t="str">
        <f t="shared" si="495"/>
        <v>幼儿园教师资格</v>
      </c>
    </row>
    <row r="1253" customHeight="1" spans="1:9">
      <c r="A1253" s="6">
        <v>1251</v>
      </c>
      <c r="B1253" s="7" t="s">
        <v>10</v>
      </c>
      <c r="C1253" s="8" t="str">
        <f>"刘小芬"</f>
        <v>刘小芬</v>
      </c>
      <c r="D1253" s="8" t="str">
        <f t="shared" si="508"/>
        <v>女</v>
      </c>
      <c r="E1253" s="7" t="str">
        <f>"460006199307135220"</f>
        <v>460006199307135220</v>
      </c>
      <c r="F1253" s="7" t="str">
        <f t="shared" ref="F1253:F1258" si="512">"琼台师范学院"</f>
        <v>琼台师范学院</v>
      </c>
      <c r="G1253" s="7" t="str">
        <f t="shared" si="510"/>
        <v>学前教育</v>
      </c>
      <c r="H1253" s="7" t="str">
        <f t="shared" si="511"/>
        <v>专科</v>
      </c>
      <c r="I1253" s="7" t="str">
        <f t="shared" si="495"/>
        <v>幼儿园教师资格</v>
      </c>
    </row>
    <row r="1254" customHeight="1" spans="1:9">
      <c r="A1254" s="6">
        <v>1252</v>
      </c>
      <c r="B1254" s="7" t="s">
        <v>11</v>
      </c>
      <c r="C1254" s="8" t="str">
        <f>"宋雅萍"</f>
        <v>宋雅萍</v>
      </c>
      <c r="D1254" s="8" t="str">
        <f t="shared" si="508"/>
        <v>女</v>
      </c>
      <c r="E1254" s="7" t="str">
        <f>"362203199207310044"</f>
        <v>362203199207310044</v>
      </c>
      <c r="F1254" s="7" t="str">
        <f>"宜春职业技术学院"</f>
        <v>宜春职业技术学院</v>
      </c>
      <c r="G1254" s="7" t="str">
        <f t="shared" si="510"/>
        <v>学前教育</v>
      </c>
      <c r="H1254" s="7" t="str">
        <f t="shared" si="511"/>
        <v>专科</v>
      </c>
      <c r="I1254" s="7" t="str">
        <f t="shared" si="495"/>
        <v>幼儿园教师资格</v>
      </c>
    </row>
    <row r="1255" customHeight="1" spans="1:9">
      <c r="A1255" s="6">
        <v>1253</v>
      </c>
      <c r="B1255" s="7" t="s">
        <v>12</v>
      </c>
      <c r="C1255" s="8" t="str">
        <f>"吴冬梅"</f>
        <v>吴冬梅</v>
      </c>
      <c r="D1255" s="8" t="str">
        <f t="shared" si="508"/>
        <v>女</v>
      </c>
      <c r="E1255" s="7" t="str">
        <f>"460003199408062447"</f>
        <v>460003199408062447</v>
      </c>
      <c r="F1255" s="7" t="str">
        <f>"琼台师范高等专科学校"</f>
        <v>琼台师范高等专科学校</v>
      </c>
      <c r="G1255" s="7" t="str">
        <f t="shared" si="510"/>
        <v>学前教育</v>
      </c>
      <c r="H1255" s="7" t="str">
        <f t="shared" si="511"/>
        <v>专科</v>
      </c>
      <c r="I1255" s="7" t="str">
        <f t="shared" si="495"/>
        <v>幼儿园教师资格</v>
      </c>
    </row>
    <row r="1256" customHeight="1" spans="1:9">
      <c r="A1256" s="6">
        <v>1254</v>
      </c>
      <c r="B1256" s="7" t="s">
        <v>10</v>
      </c>
      <c r="C1256" s="8" t="str">
        <f>"颜湘燕"</f>
        <v>颜湘燕</v>
      </c>
      <c r="D1256" s="8" t="str">
        <f t="shared" si="508"/>
        <v>女</v>
      </c>
      <c r="E1256" s="7" t="str">
        <f>"460036199405177027"</f>
        <v>460036199405177027</v>
      </c>
      <c r="F1256" s="7" t="str">
        <f>"黑龙江工业学院"</f>
        <v>黑龙江工业学院</v>
      </c>
      <c r="G1256" s="7" t="str">
        <f t="shared" si="510"/>
        <v>学前教育</v>
      </c>
      <c r="H1256" s="7" t="str">
        <f t="shared" si="511"/>
        <v>专科</v>
      </c>
      <c r="I1256" s="7" t="str">
        <f t="shared" si="495"/>
        <v>幼儿园教师资格</v>
      </c>
    </row>
    <row r="1257" customHeight="1" spans="1:9">
      <c r="A1257" s="6">
        <v>1255</v>
      </c>
      <c r="B1257" s="7" t="s">
        <v>11</v>
      </c>
      <c r="C1257" s="8" t="str">
        <f>"王天倩"</f>
        <v>王天倩</v>
      </c>
      <c r="D1257" s="8" t="str">
        <f t="shared" si="508"/>
        <v>女</v>
      </c>
      <c r="E1257" s="7" t="str">
        <f>"460036199601172426"</f>
        <v>460036199601172426</v>
      </c>
      <c r="F1257" s="7" t="str">
        <f t="shared" si="512"/>
        <v>琼台师范学院</v>
      </c>
      <c r="G1257" s="7" t="str">
        <f t="shared" si="510"/>
        <v>学前教育</v>
      </c>
      <c r="H1257" s="7" t="str">
        <f t="shared" si="511"/>
        <v>专科</v>
      </c>
      <c r="I1257" s="7" t="str">
        <f t="shared" si="495"/>
        <v>幼儿园教师资格</v>
      </c>
    </row>
    <row r="1258" customHeight="1" spans="1:9">
      <c r="A1258" s="6">
        <v>1256</v>
      </c>
      <c r="B1258" s="7" t="s">
        <v>11</v>
      </c>
      <c r="C1258" s="8" t="str">
        <f>"邱霜霜"</f>
        <v>邱霜霜</v>
      </c>
      <c r="D1258" s="8" t="str">
        <f t="shared" si="508"/>
        <v>女</v>
      </c>
      <c r="E1258" s="7" t="str">
        <f>"460034199705095549"</f>
        <v>460034199705095549</v>
      </c>
      <c r="F1258" s="7" t="str">
        <f t="shared" si="512"/>
        <v>琼台师范学院</v>
      </c>
      <c r="G1258" s="7" t="str">
        <f t="shared" si="510"/>
        <v>学前教育</v>
      </c>
      <c r="H1258" s="7" t="str">
        <f t="shared" si="511"/>
        <v>专科</v>
      </c>
      <c r="I1258" s="7" t="str">
        <f t="shared" si="495"/>
        <v>幼儿园教师资格</v>
      </c>
    </row>
    <row r="1259" customHeight="1" spans="1:9">
      <c r="A1259" s="6">
        <v>1257</v>
      </c>
      <c r="B1259" s="7" t="s">
        <v>10</v>
      </c>
      <c r="C1259" s="8" t="str">
        <f>"陈辉丽"</f>
        <v>陈辉丽</v>
      </c>
      <c r="D1259" s="8" t="str">
        <f t="shared" si="508"/>
        <v>女</v>
      </c>
      <c r="E1259" s="7" t="str">
        <f>"460006199308011625"</f>
        <v>460006199308011625</v>
      </c>
      <c r="F1259" s="7" t="str">
        <f>"琼台师范高等专科学院"</f>
        <v>琼台师范高等专科学院</v>
      </c>
      <c r="G1259" s="7" t="str">
        <f t="shared" si="510"/>
        <v>学前教育</v>
      </c>
      <c r="H1259" s="12" t="s">
        <v>13</v>
      </c>
      <c r="I1259" s="7" t="str">
        <f t="shared" si="495"/>
        <v>幼儿园教师资格</v>
      </c>
    </row>
    <row r="1260" customHeight="1" spans="1:9">
      <c r="A1260" s="6">
        <v>1258</v>
      </c>
      <c r="B1260" s="7" t="s">
        <v>10</v>
      </c>
      <c r="C1260" s="8" t="str">
        <f>"曾彩雪"</f>
        <v>曾彩雪</v>
      </c>
      <c r="D1260" s="8" t="str">
        <f t="shared" si="508"/>
        <v>女</v>
      </c>
      <c r="E1260" s="7" t="str">
        <f>"460004199210156022"</f>
        <v>460004199210156022</v>
      </c>
      <c r="F1260" s="7" t="str">
        <f>"海南师范大学"</f>
        <v>海南师范大学</v>
      </c>
      <c r="G1260" s="7" t="str">
        <f>"学期教育"</f>
        <v>学期教育</v>
      </c>
      <c r="H1260" s="7" t="str">
        <f>"专科(高职)"</f>
        <v>专科(高职)</v>
      </c>
      <c r="I1260" s="7" t="str">
        <f t="shared" si="495"/>
        <v>幼儿园教师资格</v>
      </c>
    </row>
    <row r="1261" customHeight="1" spans="1:9">
      <c r="A1261" s="6">
        <v>1259</v>
      </c>
      <c r="B1261" s="7" t="s">
        <v>10</v>
      </c>
      <c r="C1261" s="8" t="str">
        <f>"李海玉"</f>
        <v>李海玉</v>
      </c>
      <c r="D1261" s="8" t="str">
        <f t="shared" si="508"/>
        <v>女</v>
      </c>
      <c r="E1261" s="7" t="str">
        <f>"460028199411145283"</f>
        <v>460028199411145283</v>
      </c>
      <c r="F1261" s="7" t="str">
        <f t="shared" ref="F1261:F1267" si="513">"琼台师范学院"</f>
        <v>琼台师范学院</v>
      </c>
      <c r="G1261" s="7" t="str">
        <f t="shared" ref="G1261:G1268" si="514">"学前教育"</f>
        <v>学前教育</v>
      </c>
      <c r="H1261" s="7" t="str">
        <f t="shared" ref="H1261:H1266" si="515">"专科"</f>
        <v>专科</v>
      </c>
      <c r="I1261" s="7" t="str">
        <f t="shared" si="495"/>
        <v>幼儿园教师资格</v>
      </c>
    </row>
    <row r="1262" customHeight="1" spans="1:9">
      <c r="A1262" s="6">
        <v>1260</v>
      </c>
      <c r="B1262" s="7" t="s">
        <v>11</v>
      </c>
      <c r="C1262" s="8" t="str">
        <f>"王鑫"</f>
        <v>王鑫</v>
      </c>
      <c r="D1262" s="8" t="str">
        <f t="shared" si="508"/>
        <v>女</v>
      </c>
      <c r="E1262" s="7" t="str">
        <f>"230407199511140129"</f>
        <v>230407199511140129</v>
      </c>
      <c r="F1262" s="7" t="str">
        <f>"黑龙江幼儿师范高等专科学校"</f>
        <v>黑龙江幼儿师范高等专科学校</v>
      </c>
      <c r="G1262" s="7" t="str">
        <f>"学前教育专业"</f>
        <v>学前教育专业</v>
      </c>
      <c r="H1262" s="7" t="str">
        <f t="shared" si="515"/>
        <v>专科</v>
      </c>
      <c r="I1262" s="7" t="str">
        <f t="shared" si="495"/>
        <v>幼儿园教师资格</v>
      </c>
    </row>
    <row r="1263" customHeight="1" spans="1:9">
      <c r="A1263" s="6">
        <v>1261</v>
      </c>
      <c r="B1263" s="7" t="s">
        <v>11</v>
      </c>
      <c r="C1263" s="8" t="str">
        <f>"杜小红"</f>
        <v>杜小红</v>
      </c>
      <c r="D1263" s="8" t="str">
        <f t="shared" si="508"/>
        <v>女</v>
      </c>
      <c r="E1263" s="7" t="str">
        <f>"460107199511163028"</f>
        <v>460107199511163028</v>
      </c>
      <c r="F1263" s="7" t="str">
        <f>"海南省琼台师范学院"</f>
        <v>海南省琼台师范学院</v>
      </c>
      <c r="G1263" s="7" t="str">
        <f t="shared" si="514"/>
        <v>学前教育</v>
      </c>
      <c r="H1263" s="7" t="str">
        <f t="shared" si="515"/>
        <v>专科</v>
      </c>
      <c r="I1263" s="7" t="str">
        <f t="shared" si="495"/>
        <v>幼儿园教师资格</v>
      </c>
    </row>
    <row r="1264" customHeight="1" spans="1:9">
      <c r="A1264" s="6">
        <v>1262</v>
      </c>
      <c r="B1264" s="7" t="s">
        <v>10</v>
      </c>
      <c r="C1264" s="8" t="str">
        <f>" 朱红丹"</f>
        <v> 朱红丹</v>
      </c>
      <c r="D1264" s="8" t="str">
        <f t="shared" si="508"/>
        <v>女</v>
      </c>
      <c r="E1264" s="7" t="str">
        <f>"460030199303121825"</f>
        <v>460030199303121825</v>
      </c>
      <c r="F1264" s="7" t="str">
        <f>"琼台师范高等专科学校"</f>
        <v>琼台师范高等专科学校</v>
      </c>
      <c r="G1264" s="7" t="str">
        <f t="shared" si="514"/>
        <v>学前教育</v>
      </c>
      <c r="H1264" s="7" t="str">
        <f t="shared" si="515"/>
        <v>专科</v>
      </c>
      <c r="I1264" s="7" t="str">
        <f t="shared" si="495"/>
        <v>幼儿园教师资格</v>
      </c>
    </row>
    <row r="1265" customHeight="1" spans="1:9">
      <c r="A1265" s="6">
        <v>1263</v>
      </c>
      <c r="B1265" s="7" t="s">
        <v>10</v>
      </c>
      <c r="C1265" s="8" t="str">
        <f>"何淑精"</f>
        <v>何淑精</v>
      </c>
      <c r="D1265" s="8" t="str">
        <f t="shared" si="508"/>
        <v>女</v>
      </c>
      <c r="E1265" s="7" t="str">
        <f>"460003199510172642"</f>
        <v>460003199510172642</v>
      </c>
      <c r="F1265" s="7" t="str">
        <f t="shared" si="513"/>
        <v>琼台师范学院</v>
      </c>
      <c r="G1265" s="7" t="str">
        <f t="shared" si="514"/>
        <v>学前教育</v>
      </c>
      <c r="H1265" s="7" t="str">
        <f t="shared" si="515"/>
        <v>专科</v>
      </c>
      <c r="I1265" s="7" t="str">
        <f t="shared" si="495"/>
        <v>幼儿园教师资格</v>
      </c>
    </row>
    <row r="1266" customHeight="1" spans="1:9">
      <c r="A1266" s="6">
        <v>1264</v>
      </c>
      <c r="B1266" s="7" t="s">
        <v>10</v>
      </c>
      <c r="C1266" s="8" t="str">
        <f>"陈星代"</f>
        <v>陈星代</v>
      </c>
      <c r="D1266" s="8" t="str">
        <f t="shared" si="508"/>
        <v>女</v>
      </c>
      <c r="E1266" s="7" t="str">
        <f>"460003199707304629"</f>
        <v>460003199707304629</v>
      </c>
      <c r="F1266" s="7" t="str">
        <f t="shared" si="513"/>
        <v>琼台师范学院</v>
      </c>
      <c r="G1266" s="7" t="str">
        <f t="shared" si="514"/>
        <v>学前教育</v>
      </c>
      <c r="H1266" s="7" t="str">
        <f t="shared" si="515"/>
        <v>专科</v>
      </c>
      <c r="I1266" s="7" t="str">
        <f t="shared" si="495"/>
        <v>幼儿园教师资格</v>
      </c>
    </row>
    <row r="1267" customHeight="1" spans="1:9">
      <c r="A1267" s="6">
        <v>1265</v>
      </c>
      <c r="B1267" s="7" t="s">
        <v>10</v>
      </c>
      <c r="C1267" s="8" t="str">
        <f>"黄柳夕"</f>
        <v>黄柳夕</v>
      </c>
      <c r="D1267" s="8" t="str">
        <f t="shared" si="508"/>
        <v>女</v>
      </c>
      <c r="E1267" s="7" t="str">
        <f>"460028199605080449"</f>
        <v>460028199605080449</v>
      </c>
      <c r="F1267" s="7" t="str">
        <f t="shared" si="513"/>
        <v>琼台师范学院</v>
      </c>
      <c r="G1267" s="7" t="str">
        <f t="shared" si="514"/>
        <v>学前教育</v>
      </c>
      <c r="H1267" s="7" t="str">
        <f>"专科(高职)"</f>
        <v>专科(高职)</v>
      </c>
      <c r="I1267" s="7" t="str">
        <f t="shared" si="495"/>
        <v>幼儿园教师资格</v>
      </c>
    </row>
    <row r="1268" customHeight="1" spans="1:9">
      <c r="A1268" s="6">
        <v>1266</v>
      </c>
      <c r="B1268" s="7" t="s">
        <v>12</v>
      </c>
      <c r="C1268" s="8" t="str">
        <f>"黄秋欣"</f>
        <v>黄秋欣</v>
      </c>
      <c r="D1268" s="8" t="str">
        <f t="shared" si="508"/>
        <v>女</v>
      </c>
      <c r="E1268" s="7" t="str">
        <f>"460003199301050825"</f>
        <v>460003199301050825</v>
      </c>
      <c r="F1268" s="7" t="str">
        <f>"琼台师范高等专科学校"</f>
        <v>琼台师范高等专科学校</v>
      </c>
      <c r="G1268" s="7" t="str">
        <f t="shared" si="514"/>
        <v>学前教育</v>
      </c>
      <c r="H1268" s="7" t="str">
        <f t="shared" ref="H1268:H1272" si="516">"专科"</f>
        <v>专科</v>
      </c>
      <c r="I1268" s="7" t="str">
        <f t="shared" si="495"/>
        <v>幼儿园教师资格</v>
      </c>
    </row>
    <row r="1269" customHeight="1" spans="1:9">
      <c r="A1269" s="6">
        <v>1267</v>
      </c>
      <c r="B1269" s="7" t="s">
        <v>10</v>
      </c>
      <c r="C1269" s="8" t="str">
        <f>"张丽坚"</f>
        <v>张丽坚</v>
      </c>
      <c r="D1269" s="8" t="str">
        <f t="shared" si="508"/>
        <v>女</v>
      </c>
      <c r="E1269" s="7" t="str">
        <f>"460028199401215620"</f>
        <v>460028199401215620</v>
      </c>
      <c r="F1269" s="7" t="str">
        <f>"海南热带海洋学院"</f>
        <v>海南热带海洋学院</v>
      </c>
      <c r="G1269" s="7" t="str">
        <f>"学前教育（师范）"</f>
        <v>学前教育（师范）</v>
      </c>
      <c r="H1269" s="7" t="str">
        <f>"专科(高职)"</f>
        <v>专科(高职)</v>
      </c>
      <c r="I1269" s="7" t="str">
        <f t="shared" si="495"/>
        <v>幼儿园教师资格</v>
      </c>
    </row>
    <row r="1270" customHeight="1" spans="1:9">
      <c r="A1270" s="6">
        <v>1268</v>
      </c>
      <c r="B1270" s="7" t="s">
        <v>10</v>
      </c>
      <c r="C1270" s="8" t="str">
        <f>"黎冠月"</f>
        <v>黎冠月</v>
      </c>
      <c r="D1270" s="8" t="str">
        <f t="shared" si="508"/>
        <v>女</v>
      </c>
      <c r="E1270" s="7" t="str">
        <f>"460003199707174422"</f>
        <v>460003199707174422</v>
      </c>
      <c r="F1270" s="7" t="str">
        <f t="shared" ref="F1270:F1273" si="517">"琼台师范学院"</f>
        <v>琼台师范学院</v>
      </c>
      <c r="G1270" s="7" t="str">
        <f t="shared" ref="G1270:G1273" si="518">"学前教育"</f>
        <v>学前教育</v>
      </c>
      <c r="H1270" s="7" t="str">
        <f t="shared" si="516"/>
        <v>专科</v>
      </c>
      <c r="I1270" s="7" t="str">
        <f t="shared" si="495"/>
        <v>幼儿园教师资格</v>
      </c>
    </row>
    <row r="1271" customHeight="1" spans="1:9">
      <c r="A1271" s="6">
        <v>1269</v>
      </c>
      <c r="B1271" s="7" t="s">
        <v>10</v>
      </c>
      <c r="C1271" s="8" t="str">
        <f>"王晓丽"</f>
        <v>王晓丽</v>
      </c>
      <c r="D1271" s="8" t="str">
        <f t="shared" si="508"/>
        <v>女</v>
      </c>
      <c r="E1271" s="7" t="str">
        <f>"460028199602060063"</f>
        <v>460028199602060063</v>
      </c>
      <c r="F1271" s="7" t="str">
        <f t="shared" si="517"/>
        <v>琼台师范学院</v>
      </c>
      <c r="G1271" s="7" t="str">
        <f t="shared" si="518"/>
        <v>学前教育</v>
      </c>
      <c r="H1271" s="12" t="s">
        <v>13</v>
      </c>
      <c r="I1271" s="7" t="str">
        <f t="shared" si="495"/>
        <v>幼儿园教师资格</v>
      </c>
    </row>
    <row r="1272" customHeight="1" spans="1:9">
      <c r="A1272" s="6">
        <v>1270</v>
      </c>
      <c r="B1272" s="7" t="s">
        <v>10</v>
      </c>
      <c r="C1272" s="8" t="str">
        <f>"唐景芬"</f>
        <v>唐景芬</v>
      </c>
      <c r="D1272" s="8" t="str">
        <f t="shared" si="508"/>
        <v>女</v>
      </c>
      <c r="E1272" s="7" t="str">
        <f>"460102199607150924"</f>
        <v>460102199607150924</v>
      </c>
      <c r="F1272" s="7" t="str">
        <f>"江西科技学院"</f>
        <v>江西科技学院</v>
      </c>
      <c r="G1272" s="7" t="str">
        <f t="shared" si="518"/>
        <v>学前教育</v>
      </c>
      <c r="H1272" s="7" t="str">
        <f t="shared" si="516"/>
        <v>专科</v>
      </c>
      <c r="I1272" s="7" t="str">
        <f t="shared" si="495"/>
        <v>幼儿园教师资格</v>
      </c>
    </row>
    <row r="1273" customHeight="1" spans="1:9">
      <c r="A1273" s="6">
        <v>1271</v>
      </c>
      <c r="B1273" s="7" t="s">
        <v>12</v>
      </c>
      <c r="C1273" s="8" t="str">
        <f>"王谣云"</f>
        <v>王谣云</v>
      </c>
      <c r="D1273" s="8" t="str">
        <f t="shared" si="508"/>
        <v>女</v>
      </c>
      <c r="E1273" s="7" t="str">
        <f>"460027199901316229"</f>
        <v>460027199901316229</v>
      </c>
      <c r="F1273" s="7" t="str">
        <f t="shared" si="517"/>
        <v>琼台师范学院</v>
      </c>
      <c r="G1273" s="7" t="str">
        <f t="shared" si="518"/>
        <v>学前教育</v>
      </c>
      <c r="H1273" s="7" t="str">
        <f>"专科(高职)"</f>
        <v>专科(高职)</v>
      </c>
      <c r="I1273" s="7" t="str">
        <f t="shared" si="495"/>
        <v>幼儿园教师资格</v>
      </c>
    </row>
    <row r="1274" customHeight="1" spans="1:9">
      <c r="A1274" s="6">
        <v>1272</v>
      </c>
      <c r="B1274" s="7" t="s">
        <v>11</v>
      </c>
      <c r="C1274" s="8" t="str">
        <f>"陈志芳"</f>
        <v>陈志芳</v>
      </c>
      <c r="D1274" s="8" t="str">
        <f t="shared" si="508"/>
        <v>女</v>
      </c>
      <c r="E1274" s="7" t="str">
        <f>"460034199211305526"</f>
        <v>460034199211305526</v>
      </c>
      <c r="F1274" s="7" t="str">
        <f>"琼台师范高等专科学校"</f>
        <v>琼台师范高等专科学校</v>
      </c>
      <c r="G1274" s="7" t="str">
        <f>"学前教育(英语教育方向)"</f>
        <v>学前教育(英语教育方向)</v>
      </c>
      <c r="H1274" s="7" t="str">
        <f t="shared" ref="H1274:H1281" si="519">"专科"</f>
        <v>专科</v>
      </c>
      <c r="I1274" s="7" t="str">
        <f t="shared" si="495"/>
        <v>幼儿园教师资格</v>
      </c>
    </row>
    <row r="1275" customHeight="1" spans="1:9">
      <c r="A1275" s="6">
        <v>1273</v>
      </c>
      <c r="B1275" s="7" t="s">
        <v>11</v>
      </c>
      <c r="C1275" s="8" t="str">
        <f>"翁琼菊"</f>
        <v>翁琼菊</v>
      </c>
      <c r="D1275" s="8" t="str">
        <f t="shared" si="508"/>
        <v>女</v>
      </c>
      <c r="E1275" s="7" t="str">
        <f>"460006199708042025"</f>
        <v>460006199708042025</v>
      </c>
      <c r="F1275" s="7" t="str">
        <f t="shared" ref="F1275:F1280" si="520">"琼台师范学院"</f>
        <v>琼台师范学院</v>
      </c>
      <c r="G1275" s="7" t="str">
        <f t="shared" ref="G1275:G1283" si="521">"学前教育"</f>
        <v>学前教育</v>
      </c>
      <c r="H1275" s="7" t="str">
        <f>"专科(高职)"</f>
        <v>专科(高职)</v>
      </c>
      <c r="I1275" s="7" t="str">
        <f t="shared" si="495"/>
        <v>幼儿园教师资格</v>
      </c>
    </row>
    <row r="1276" customHeight="1" spans="1:9">
      <c r="A1276" s="6">
        <v>1274</v>
      </c>
      <c r="B1276" s="7" t="s">
        <v>10</v>
      </c>
      <c r="C1276" s="8" t="str">
        <f>"吴奇妹"</f>
        <v>吴奇妹</v>
      </c>
      <c r="D1276" s="8" t="str">
        <f t="shared" si="508"/>
        <v>女</v>
      </c>
      <c r="E1276" s="7" t="str">
        <f>"469003199812202729"</f>
        <v>469003199812202729</v>
      </c>
      <c r="F1276" s="7" t="str">
        <f>"商丘学院"</f>
        <v>商丘学院</v>
      </c>
      <c r="G1276" s="7" t="str">
        <f>"学前教育（师范）"</f>
        <v>学前教育（师范）</v>
      </c>
      <c r="H1276" s="7" t="str">
        <f>"本科"</f>
        <v>本科</v>
      </c>
      <c r="I1276" s="7" t="str">
        <f t="shared" si="495"/>
        <v>幼儿园教师资格</v>
      </c>
    </row>
    <row r="1277" customHeight="1" spans="1:9">
      <c r="A1277" s="6">
        <v>1275</v>
      </c>
      <c r="B1277" s="7" t="s">
        <v>12</v>
      </c>
      <c r="C1277" s="8" t="str">
        <f>"赵银"</f>
        <v>赵银</v>
      </c>
      <c r="D1277" s="8" t="str">
        <f t="shared" si="508"/>
        <v>女</v>
      </c>
      <c r="E1277" s="7" t="str">
        <f>"46002819961010162X"</f>
        <v>46002819961010162X</v>
      </c>
      <c r="F1277" s="7" t="str">
        <f t="shared" si="520"/>
        <v>琼台师范学院</v>
      </c>
      <c r="G1277" s="7" t="str">
        <f t="shared" si="521"/>
        <v>学前教育</v>
      </c>
      <c r="H1277" s="7" t="str">
        <f t="shared" si="519"/>
        <v>专科</v>
      </c>
      <c r="I1277" s="7" t="str">
        <f t="shared" si="495"/>
        <v>幼儿园教师资格</v>
      </c>
    </row>
    <row r="1278" customHeight="1" spans="1:9">
      <c r="A1278" s="6">
        <v>1276</v>
      </c>
      <c r="B1278" s="7" t="s">
        <v>11</v>
      </c>
      <c r="C1278" s="8" t="str">
        <f>"洪文妃"</f>
        <v>洪文妃</v>
      </c>
      <c r="D1278" s="8" t="str">
        <f t="shared" si="508"/>
        <v>女</v>
      </c>
      <c r="E1278" s="7" t="str">
        <f>"460003199406077661"</f>
        <v>460003199406077661</v>
      </c>
      <c r="F1278" s="7" t="str">
        <f>"热带海洋学院"</f>
        <v>热带海洋学院</v>
      </c>
      <c r="G1278" s="7" t="str">
        <f t="shared" si="521"/>
        <v>学前教育</v>
      </c>
      <c r="H1278" s="7" t="str">
        <f t="shared" si="519"/>
        <v>专科</v>
      </c>
      <c r="I1278" s="7" t="str">
        <f t="shared" si="495"/>
        <v>幼儿园教师资格</v>
      </c>
    </row>
    <row r="1279" customHeight="1" spans="1:9">
      <c r="A1279" s="6">
        <v>1277</v>
      </c>
      <c r="B1279" s="7" t="s">
        <v>11</v>
      </c>
      <c r="C1279" s="8" t="str">
        <f>"李秋野"</f>
        <v>李秋野</v>
      </c>
      <c r="D1279" s="8" t="str">
        <f t="shared" si="508"/>
        <v>女</v>
      </c>
      <c r="E1279" s="7" t="str">
        <f>"220183199608070225"</f>
        <v>220183199608070225</v>
      </c>
      <c r="F1279" s="7" t="str">
        <f>"中央广播电视大学"</f>
        <v>中央广播电视大学</v>
      </c>
      <c r="G1279" s="7" t="str">
        <f t="shared" si="521"/>
        <v>学前教育</v>
      </c>
      <c r="H1279" s="7" t="str">
        <f t="shared" si="519"/>
        <v>专科</v>
      </c>
      <c r="I1279" s="7" t="str">
        <f t="shared" si="495"/>
        <v>幼儿园教师资格</v>
      </c>
    </row>
    <row r="1280" customHeight="1" spans="1:9">
      <c r="A1280" s="6">
        <v>1278</v>
      </c>
      <c r="B1280" s="7" t="s">
        <v>10</v>
      </c>
      <c r="C1280" s="8" t="str">
        <f>"许丽芬"</f>
        <v>许丽芬</v>
      </c>
      <c r="D1280" s="8" t="str">
        <f t="shared" si="508"/>
        <v>女</v>
      </c>
      <c r="E1280" s="7" t="str">
        <f>"460028199304170045"</f>
        <v>460028199304170045</v>
      </c>
      <c r="F1280" s="7" t="str">
        <f t="shared" si="520"/>
        <v>琼台师范学院</v>
      </c>
      <c r="G1280" s="7" t="str">
        <f t="shared" si="521"/>
        <v>学前教育</v>
      </c>
      <c r="H1280" s="7" t="str">
        <f t="shared" si="519"/>
        <v>专科</v>
      </c>
      <c r="I1280" s="7" t="str">
        <f t="shared" si="495"/>
        <v>幼儿园教师资格</v>
      </c>
    </row>
    <row r="1281" customHeight="1" spans="1:9">
      <c r="A1281" s="6">
        <v>1279</v>
      </c>
      <c r="B1281" s="7" t="s">
        <v>10</v>
      </c>
      <c r="C1281" s="8" t="str">
        <f>"胡梦兰"</f>
        <v>胡梦兰</v>
      </c>
      <c r="D1281" s="8" t="str">
        <f t="shared" si="508"/>
        <v>女</v>
      </c>
      <c r="E1281" s="7" t="str">
        <f>"460001199708151326"</f>
        <v>460001199708151326</v>
      </c>
      <c r="F1281" s="7" t="str">
        <f>"梧州学院"</f>
        <v>梧州学院</v>
      </c>
      <c r="G1281" s="7" t="str">
        <f t="shared" si="521"/>
        <v>学前教育</v>
      </c>
      <c r="H1281" s="7" t="str">
        <f t="shared" si="519"/>
        <v>专科</v>
      </c>
      <c r="I1281" s="7" t="str">
        <f t="shared" ref="I1281:I1344" si="522">"幼儿园教师资格"</f>
        <v>幼儿园教师资格</v>
      </c>
    </row>
    <row r="1282" customHeight="1" spans="1:9">
      <c r="A1282" s="6">
        <v>1280</v>
      </c>
      <c r="B1282" s="7" t="s">
        <v>11</v>
      </c>
      <c r="C1282" s="8" t="str">
        <f>"李紫妹"</f>
        <v>李紫妹</v>
      </c>
      <c r="D1282" s="8" t="str">
        <f t="shared" si="508"/>
        <v>女</v>
      </c>
      <c r="E1282" s="7" t="str">
        <f>"460028199508165627"</f>
        <v>460028199508165627</v>
      </c>
      <c r="F1282" s="7" t="str">
        <f t="shared" ref="F1282:F1286" si="523">"海南热带海洋学院"</f>
        <v>海南热带海洋学院</v>
      </c>
      <c r="G1282" s="7" t="str">
        <f t="shared" si="521"/>
        <v>学前教育</v>
      </c>
      <c r="H1282" s="7" t="str">
        <f>"专科(高职)"</f>
        <v>专科(高职)</v>
      </c>
      <c r="I1282" s="7" t="str">
        <f t="shared" si="522"/>
        <v>幼儿园教师资格</v>
      </c>
    </row>
    <row r="1283" customHeight="1" spans="1:9">
      <c r="A1283" s="6">
        <v>1281</v>
      </c>
      <c r="B1283" s="7" t="s">
        <v>12</v>
      </c>
      <c r="C1283" s="8" t="str">
        <f>"韦树鑫"</f>
        <v>韦树鑫</v>
      </c>
      <c r="D1283" s="8" t="str">
        <f t="shared" si="508"/>
        <v>女</v>
      </c>
      <c r="E1283" s="7" t="str">
        <f>"460033199504050022"</f>
        <v>460033199504050022</v>
      </c>
      <c r="F1283" s="7" t="str">
        <f>"琼台师范学院"</f>
        <v>琼台师范学院</v>
      </c>
      <c r="G1283" s="7" t="str">
        <f t="shared" si="521"/>
        <v>学前教育</v>
      </c>
      <c r="H1283" s="7" t="str">
        <f t="shared" ref="H1283:H1286" si="524">"专科"</f>
        <v>专科</v>
      </c>
      <c r="I1283" s="7" t="str">
        <f t="shared" si="522"/>
        <v>幼儿园教师资格</v>
      </c>
    </row>
    <row r="1284" customHeight="1" spans="1:9">
      <c r="A1284" s="6">
        <v>1282</v>
      </c>
      <c r="B1284" s="7" t="s">
        <v>10</v>
      </c>
      <c r="C1284" s="8" t="str">
        <f>"陈莹莹"</f>
        <v>陈莹莹</v>
      </c>
      <c r="D1284" s="8" t="str">
        <f t="shared" si="508"/>
        <v>女</v>
      </c>
      <c r="E1284" s="7" t="str">
        <f>"46000519970101122X"</f>
        <v>46000519970101122X</v>
      </c>
      <c r="F1284" s="7" t="str">
        <f t="shared" si="523"/>
        <v>海南热带海洋学院</v>
      </c>
      <c r="G1284" s="7" t="str">
        <f>"学前教育（师范）"</f>
        <v>学前教育（师范）</v>
      </c>
      <c r="H1284" s="7" t="str">
        <f>"本科"</f>
        <v>本科</v>
      </c>
      <c r="I1284" s="7" t="str">
        <f t="shared" si="522"/>
        <v>幼儿园教师资格</v>
      </c>
    </row>
    <row r="1285" customHeight="1" spans="1:9">
      <c r="A1285" s="6">
        <v>1283</v>
      </c>
      <c r="B1285" s="7" t="s">
        <v>12</v>
      </c>
      <c r="C1285" s="8" t="str">
        <f>"纪清谭"</f>
        <v>纪清谭</v>
      </c>
      <c r="D1285" s="8" t="str">
        <f t="shared" si="508"/>
        <v>女</v>
      </c>
      <c r="E1285" s="7" t="str">
        <f>"460033199107164827"</f>
        <v>460033199107164827</v>
      </c>
      <c r="F1285" s="7" t="str">
        <f>"琼州学院"</f>
        <v>琼州学院</v>
      </c>
      <c r="G1285" s="7" t="str">
        <f t="shared" ref="G1285:G1300" si="525">"学前教育"</f>
        <v>学前教育</v>
      </c>
      <c r="H1285" s="7" t="str">
        <f t="shared" si="524"/>
        <v>专科</v>
      </c>
      <c r="I1285" s="7" t="str">
        <f t="shared" si="522"/>
        <v>幼儿园教师资格</v>
      </c>
    </row>
    <row r="1286" customHeight="1" spans="1:9">
      <c r="A1286" s="6">
        <v>1284</v>
      </c>
      <c r="B1286" s="7" t="s">
        <v>11</v>
      </c>
      <c r="C1286" s="8" t="str">
        <f>"余玲玲"</f>
        <v>余玲玲</v>
      </c>
      <c r="D1286" s="8" t="str">
        <f t="shared" si="508"/>
        <v>女</v>
      </c>
      <c r="E1286" s="7" t="str">
        <f>"460003199606144048"</f>
        <v>460003199606144048</v>
      </c>
      <c r="F1286" s="7" t="str">
        <f t="shared" si="523"/>
        <v>海南热带海洋学院</v>
      </c>
      <c r="G1286" s="7" t="str">
        <f t="shared" si="525"/>
        <v>学前教育</v>
      </c>
      <c r="H1286" s="7" t="str">
        <f t="shared" si="524"/>
        <v>专科</v>
      </c>
      <c r="I1286" s="7" t="str">
        <f t="shared" si="522"/>
        <v>幼儿园教师资格</v>
      </c>
    </row>
    <row r="1287" customHeight="1" spans="1:9">
      <c r="A1287" s="6">
        <v>1285</v>
      </c>
      <c r="B1287" s="7" t="s">
        <v>10</v>
      </c>
      <c r="C1287" s="8" t="str">
        <f>"刘夏"</f>
        <v>刘夏</v>
      </c>
      <c r="D1287" s="8" t="str">
        <f t="shared" si="508"/>
        <v>女</v>
      </c>
      <c r="E1287" s="7" t="str">
        <f>"460026199406014227"</f>
        <v>460026199406014227</v>
      </c>
      <c r="F1287" s="7" t="str">
        <f>"井冈山大学"</f>
        <v>井冈山大学</v>
      </c>
      <c r="G1287" s="7" t="str">
        <f t="shared" si="525"/>
        <v>学前教育</v>
      </c>
      <c r="H1287" s="7" t="str">
        <f>"本科"</f>
        <v>本科</v>
      </c>
      <c r="I1287" s="7" t="str">
        <f t="shared" si="522"/>
        <v>幼儿园教师资格</v>
      </c>
    </row>
    <row r="1288" customHeight="1" spans="1:9">
      <c r="A1288" s="6">
        <v>1286</v>
      </c>
      <c r="B1288" s="7" t="s">
        <v>10</v>
      </c>
      <c r="C1288" s="8" t="str">
        <f>"陈家玉"</f>
        <v>陈家玉</v>
      </c>
      <c r="D1288" s="8" t="str">
        <f t="shared" si="508"/>
        <v>女</v>
      </c>
      <c r="E1288" s="7" t="str">
        <f>"46002719980810204X"</f>
        <v>46002719980810204X</v>
      </c>
      <c r="F1288" s="7" t="str">
        <f t="shared" ref="F1288:F1291" si="526">"琼台师范学院"</f>
        <v>琼台师范学院</v>
      </c>
      <c r="G1288" s="7" t="str">
        <f t="shared" si="525"/>
        <v>学前教育</v>
      </c>
      <c r="H1288" s="7" t="str">
        <f t="shared" ref="H1288:H1290" si="527">"专科"</f>
        <v>专科</v>
      </c>
      <c r="I1288" s="7" t="str">
        <f t="shared" si="522"/>
        <v>幼儿园教师资格</v>
      </c>
    </row>
    <row r="1289" customHeight="1" spans="1:9">
      <c r="A1289" s="6">
        <v>1287</v>
      </c>
      <c r="B1289" s="7" t="s">
        <v>11</v>
      </c>
      <c r="C1289" s="8" t="str">
        <f>"符小云"</f>
        <v>符小云</v>
      </c>
      <c r="D1289" s="8" t="str">
        <f t="shared" si="508"/>
        <v>女</v>
      </c>
      <c r="E1289" s="7" t="str">
        <f>"460006199411174844"</f>
        <v>460006199411174844</v>
      </c>
      <c r="F1289" s="7" t="str">
        <f>" 海南热带海洋学院"</f>
        <v> 海南热带海洋学院</v>
      </c>
      <c r="G1289" s="7" t="str">
        <f t="shared" si="525"/>
        <v>学前教育</v>
      </c>
      <c r="H1289" s="7" t="str">
        <f t="shared" si="527"/>
        <v>专科</v>
      </c>
      <c r="I1289" s="7" t="str">
        <f t="shared" si="522"/>
        <v>幼儿园教师资格</v>
      </c>
    </row>
    <row r="1290" customHeight="1" spans="1:9">
      <c r="A1290" s="6">
        <v>1288</v>
      </c>
      <c r="B1290" s="7" t="s">
        <v>12</v>
      </c>
      <c r="C1290" s="8" t="str">
        <f>"黄平梅"</f>
        <v>黄平梅</v>
      </c>
      <c r="D1290" s="8" t="str">
        <f t="shared" si="508"/>
        <v>女</v>
      </c>
      <c r="E1290" s="7" t="str">
        <f>"460007199704180822"</f>
        <v>460007199704180822</v>
      </c>
      <c r="F1290" s="7" t="str">
        <f t="shared" si="526"/>
        <v>琼台师范学院</v>
      </c>
      <c r="G1290" s="7" t="str">
        <f t="shared" si="525"/>
        <v>学前教育</v>
      </c>
      <c r="H1290" s="7" t="str">
        <f t="shared" si="527"/>
        <v>专科</v>
      </c>
      <c r="I1290" s="7" t="str">
        <f t="shared" si="522"/>
        <v>幼儿园教师资格</v>
      </c>
    </row>
    <row r="1291" customHeight="1" spans="1:9">
      <c r="A1291" s="6">
        <v>1289</v>
      </c>
      <c r="B1291" s="7" t="s">
        <v>10</v>
      </c>
      <c r="C1291" s="8" t="str">
        <f>"吴锦霞"</f>
        <v>吴锦霞</v>
      </c>
      <c r="D1291" s="8" t="str">
        <f t="shared" si="508"/>
        <v>女</v>
      </c>
      <c r="E1291" s="7" t="str">
        <f>"460030199710265447"</f>
        <v>460030199710265447</v>
      </c>
      <c r="F1291" s="7" t="str">
        <f t="shared" si="526"/>
        <v>琼台师范学院</v>
      </c>
      <c r="G1291" s="7" t="str">
        <f t="shared" si="525"/>
        <v>学前教育</v>
      </c>
      <c r="H1291" s="7" t="str">
        <f>"专科(高职)"</f>
        <v>专科(高职)</v>
      </c>
      <c r="I1291" s="7" t="str">
        <f t="shared" si="522"/>
        <v>幼儿园教师资格</v>
      </c>
    </row>
    <row r="1292" customHeight="1" spans="1:9">
      <c r="A1292" s="6">
        <v>1290</v>
      </c>
      <c r="B1292" s="7" t="s">
        <v>10</v>
      </c>
      <c r="C1292" s="8" t="str">
        <f>"马静"</f>
        <v>马静</v>
      </c>
      <c r="D1292" s="8" t="str">
        <f t="shared" si="508"/>
        <v>女</v>
      </c>
      <c r="E1292" s="7" t="str">
        <f>"372930199402240028"</f>
        <v>372930199402240028</v>
      </c>
      <c r="F1292" s="7" t="str">
        <f>"琼台师范学校"</f>
        <v>琼台师范学校</v>
      </c>
      <c r="G1292" s="7" t="str">
        <f t="shared" si="525"/>
        <v>学前教育</v>
      </c>
      <c r="H1292" s="7" t="str">
        <f t="shared" ref="H1292:H1298" si="528">"专科"</f>
        <v>专科</v>
      </c>
      <c r="I1292" s="7" t="str">
        <f t="shared" si="522"/>
        <v>幼儿园教师资格</v>
      </c>
    </row>
    <row r="1293" customHeight="1" spans="1:9">
      <c r="A1293" s="6">
        <v>1291</v>
      </c>
      <c r="B1293" s="7" t="s">
        <v>11</v>
      </c>
      <c r="C1293" s="8" t="str">
        <f>"韦乔镄"</f>
        <v>韦乔镄</v>
      </c>
      <c r="D1293" s="8" t="str">
        <f t="shared" si="508"/>
        <v>女</v>
      </c>
      <c r="E1293" s="7" t="str">
        <f>"460030199203103048"</f>
        <v>460030199203103048</v>
      </c>
      <c r="F1293" s="7" t="str">
        <f>"黑龙江省哈尔滨师范大学"</f>
        <v>黑龙江省哈尔滨师范大学</v>
      </c>
      <c r="G1293" s="7" t="str">
        <f t="shared" si="525"/>
        <v>学前教育</v>
      </c>
      <c r="H1293" s="7" t="str">
        <f>"本科"</f>
        <v>本科</v>
      </c>
      <c r="I1293" s="7" t="str">
        <f t="shared" si="522"/>
        <v>幼儿园教师资格</v>
      </c>
    </row>
    <row r="1294" customHeight="1" spans="1:9">
      <c r="A1294" s="6">
        <v>1292</v>
      </c>
      <c r="B1294" s="7" t="s">
        <v>10</v>
      </c>
      <c r="C1294" s="8" t="str">
        <f>"陈婷婷"</f>
        <v>陈婷婷</v>
      </c>
      <c r="D1294" s="8" t="str">
        <f t="shared" si="508"/>
        <v>女</v>
      </c>
      <c r="E1294" s="7" t="str">
        <f>"460028199903102423"</f>
        <v>460028199903102423</v>
      </c>
      <c r="F1294" s="7" t="str">
        <f>"琼台师范学院"</f>
        <v>琼台师范学院</v>
      </c>
      <c r="G1294" s="7" t="str">
        <f t="shared" si="525"/>
        <v>学前教育</v>
      </c>
      <c r="H1294" s="7" t="str">
        <f t="shared" si="528"/>
        <v>专科</v>
      </c>
      <c r="I1294" s="7" t="str">
        <f t="shared" si="522"/>
        <v>幼儿园教师资格</v>
      </c>
    </row>
    <row r="1295" customHeight="1" spans="1:9">
      <c r="A1295" s="6">
        <v>1293</v>
      </c>
      <c r="B1295" s="7" t="s">
        <v>11</v>
      </c>
      <c r="C1295" s="8" t="str">
        <f>"吴初允"</f>
        <v>吴初允</v>
      </c>
      <c r="D1295" s="8" t="str">
        <f t="shared" si="508"/>
        <v>女</v>
      </c>
      <c r="E1295" s="7" t="str">
        <f>"460003199511253022"</f>
        <v>460003199511253022</v>
      </c>
      <c r="F1295" s="7" t="str">
        <f>"琼台师范学院"</f>
        <v>琼台师范学院</v>
      </c>
      <c r="G1295" s="7" t="str">
        <f t="shared" si="525"/>
        <v>学前教育</v>
      </c>
      <c r="H1295" s="7" t="str">
        <f t="shared" si="528"/>
        <v>专科</v>
      </c>
      <c r="I1295" s="7" t="str">
        <f t="shared" si="522"/>
        <v>幼儿园教师资格</v>
      </c>
    </row>
    <row r="1296" customHeight="1" spans="1:9">
      <c r="A1296" s="6">
        <v>1294</v>
      </c>
      <c r="B1296" s="7" t="s">
        <v>12</v>
      </c>
      <c r="C1296" s="8" t="str">
        <f>"赵少凤"</f>
        <v>赵少凤</v>
      </c>
      <c r="D1296" s="8" t="str">
        <f t="shared" si="508"/>
        <v>女</v>
      </c>
      <c r="E1296" s="7" t="str">
        <f>"460007199307207323"</f>
        <v>460007199307207323</v>
      </c>
      <c r="F1296" s="7" t="str">
        <f>"海南琼台师范学院"</f>
        <v>海南琼台师范学院</v>
      </c>
      <c r="G1296" s="7" t="str">
        <f t="shared" si="525"/>
        <v>学前教育</v>
      </c>
      <c r="H1296" s="7" t="str">
        <f t="shared" si="528"/>
        <v>专科</v>
      </c>
      <c r="I1296" s="7" t="str">
        <f t="shared" si="522"/>
        <v>幼儿园教师资格</v>
      </c>
    </row>
    <row r="1297" customHeight="1" spans="1:9">
      <c r="A1297" s="6">
        <v>1295</v>
      </c>
      <c r="B1297" s="7" t="s">
        <v>11</v>
      </c>
      <c r="C1297" s="8" t="str">
        <f>"许莲妹"</f>
        <v>许莲妹</v>
      </c>
      <c r="D1297" s="8" t="str">
        <f t="shared" si="508"/>
        <v>女</v>
      </c>
      <c r="E1297" s="7" t="str">
        <f>"460003199302032848"</f>
        <v>460003199302032848</v>
      </c>
      <c r="F1297" s="7" t="str">
        <f>"海南热带海洋学院"</f>
        <v>海南热带海洋学院</v>
      </c>
      <c r="G1297" s="7" t="str">
        <f t="shared" si="525"/>
        <v>学前教育</v>
      </c>
      <c r="H1297" s="7" t="str">
        <f t="shared" si="528"/>
        <v>专科</v>
      </c>
      <c r="I1297" s="7" t="str">
        <f t="shared" si="522"/>
        <v>幼儿园教师资格</v>
      </c>
    </row>
    <row r="1298" customHeight="1" spans="1:9">
      <c r="A1298" s="6">
        <v>1296</v>
      </c>
      <c r="B1298" s="7" t="s">
        <v>10</v>
      </c>
      <c r="C1298" s="8" t="str">
        <f>"王成才"</f>
        <v>王成才</v>
      </c>
      <c r="D1298" s="8" t="str">
        <f>"男"</f>
        <v>男</v>
      </c>
      <c r="E1298" s="7" t="str">
        <f>"460031199005035212"</f>
        <v>460031199005035212</v>
      </c>
      <c r="F1298" s="7" t="str">
        <f>"海南省热带海洋学院"</f>
        <v>海南省热带海洋学院</v>
      </c>
      <c r="G1298" s="7" t="str">
        <f t="shared" si="525"/>
        <v>学前教育</v>
      </c>
      <c r="H1298" s="7" t="str">
        <f t="shared" si="528"/>
        <v>专科</v>
      </c>
      <c r="I1298" s="7" t="str">
        <f t="shared" si="522"/>
        <v>幼儿园教师资格</v>
      </c>
    </row>
    <row r="1299" customHeight="1" spans="1:9">
      <c r="A1299" s="6">
        <v>1297</v>
      </c>
      <c r="B1299" s="7" t="s">
        <v>10</v>
      </c>
      <c r="C1299" s="8" t="str">
        <f>"苏莉莉"</f>
        <v>苏莉莉</v>
      </c>
      <c r="D1299" s="8" t="str">
        <f t="shared" ref="D1299:D1346" si="529">"女"</f>
        <v>女</v>
      </c>
      <c r="E1299" s="7" t="str">
        <f>"460004199203145229"</f>
        <v>460004199203145229</v>
      </c>
      <c r="F1299" s="7" t="str">
        <f>"忻州师范学院"</f>
        <v>忻州师范学院</v>
      </c>
      <c r="G1299" s="7" t="str">
        <f t="shared" si="525"/>
        <v>学前教育</v>
      </c>
      <c r="H1299" s="7" t="str">
        <f t="shared" ref="H1299:H1301" si="530">"本科"</f>
        <v>本科</v>
      </c>
      <c r="I1299" s="7" t="str">
        <f t="shared" si="522"/>
        <v>幼儿园教师资格</v>
      </c>
    </row>
    <row r="1300" customHeight="1" spans="1:9">
      <c r="A1300" s="6">
        <v>1298</v>
      </c>
      <c r="B1300" s="7" t="s">
        <v>12</v>
      </c>
      <c r="C1300" s="8" t="str">
        <f>"王玉椿"</f>
        <v>王玉椿</v>
      </c>
      <c r="D1300" s="8" t="str">
        <f t="shared" si="529"/>
        <v>女</v>
      </c>
      <c r="E1300" s="7" t="str">
        <f>"460022199209253522"</f>
        <v>460022199209253522</v>
      </c>
      <c r="F1300" s="7" t="str">
        <f>"海南师范大学"</f>
        <v>海南师范大学</v>
      </c>
      <c r="G1300" s="7" t="str">
        <f t="shared" si="525"/>
        <v>学前教育</v>
      </c>
      <c r="H1300" s="7" t="str">
        <f t="shared" si="530"/>
        <v>本科</v>
      </c>
      <c r="I1300" s="7" t="str">
        <f t="shared" si="522"/>
        <v>幼儿园教师资格</v>
      </c>
    </row>
    <row r="1301" customHeight="1" spans="1:9">
      <c r="A1301" s="6">
        <v>1299</v>
      </c>
      <c r="B1301" s="7" t="s">
        <v>10</v>
      </c>
      <c r="C1301" s="8" t="str">
        <f>"王康鸿"</f>
        <v>王康鸿</v>
      </c>
      <c r="D1301" s="8" t="str">
        <f t="shared" si="529"/>
        <v>女</v>
      </c>
      <c r="E1301" s="7" t="str">
        <f>"460028199704262889"</f>
        <v>460028199704262889</v>
      </c>
      <c r="F1301" s="7" t="str">
        <f>"忻州师范学院"</f>
        <v>忻州师范学院</v>
      </c>
      <c r="G1301" s="7" t="str">
        <f>"学前教育专业"</f>
        <v>学前教育专业</v>
      </c>
      <c r="H1301" s="7" t="str">
        <f t="shared" si="530"/>
        <v>本科</v>
      </c>
      <c r="I1301" s="7" t="str">
        <f t="shared" si="522"/>
        <v>幼儿园教师资格</v>
      </c>
    </row>
    <row r="1302" customHeight="1" spans="1:9">
      <c r="A1302" s="6">
        <v>1300</v>
      </c>
      <c r="B1302" s="7" t="s">
        <v>12</v>
      </c>
      <c r="C1302" s="8" t="str">
        <f>"梁丽颖"</f>
        <v>梁丽颖</v>
      </c>
      <c r="D1302" s="8" t="str">
        <f t="shared" si="529"/>
        <v>女</v>
      </c>
      <c r="E1302" s="7" t="str">
        <f>"460004199704040046"</f>
        <v>460004199704040046</v>
      </c>
      <c r="F1302" s="7" t="str">
        <f>"海南热带海洋学院"</f>
        <v>海南热带海洋学院</v>
      </c>
      <c r="G1302" s="7" t="str">
        <f t="shared" ref="G1302:G1307" si="531">"学前教育"</f>
        <v>学前教育</v>
      </c>
      <c r="H1302" s="7" t="str">
        <f t="shared" ref="H1302:H1309" si="532">"专科"</f>
        <v>专科</v>
      </c>
      <c r="I1302" s="7" t="str">
        <f t="shared" si="522"/>
        <v>幼儿园教师资格</v>
      </c>
    </row>
    <row r="1303" customHeight="1" spans="1:9">
      <c r="A1303" s="6">
        <v>1301</v>
      </c>
      <c r="B1303" s="7" t="s">
        <v>10</v>
      </c>
      <c r="C1303" s="8" t="str">
        <f>"徐卫霞"</f>
        <v>徐卫霞</v>
      </c>
      <c r="D1303" s="8" t="str">
        <f t="shared" si="529"/>
        <v>女</v>
      </c>
      <c r="E1303" s="7" t="str">
        <f>"469003199706186729"</f>
        <v>469003199706186729</v>
      </c>
      <c r="F1303" s="7" t="str">
        <f>"吉林师范大学博达学院"</f>
        <v>吉林师范大学博达学院</v>
      </c>
      <c r="G1303" s="7" t="str">
        <f t="shared" si="531"/>
        <v>学前教育</v>
      </c>
      <c r="H1303" s="7" t="str">
        <f>"本科"</f>
        <v>本科</v>
      </c>
      <c r="I1303" s="7" t="str">
        <f t="shared" si="522"/>
        <v>幼儿园教师资格</v>
      </c>
    </row>
    <row r="1304" customHeight="1" spans="1:9">
      <c r="A1304" s="6">
        <v>1302</v>
      </c>
      <c r="B1304" s="7" t="s">
        <v>10</v>
      </c>
      <c r="C1304" s="8" t="str">
        <f>"罗涤琦"</f>
        <v>罗涤琦</v>
      </c>
      <c r="D1304" s="8" t="str">
        <f t="shared" si="529"/>
        <v>女</v>
      </c>
      <c r="E1304" s="7" t="str">
        <f>"420582199505037521"</f>
        <v>420582199505037521</v>
      </c>
      <c r="F1304" s="7" t="str">
        <f>"湖北文理学院"</f>
        <v>湖北文理学院</v>
      </c>
      <c r="G1304" s="7" t="str">
        <f t="shared" si="531"/>
        <v>学前教育</v>
      </c>
      <c r="H1304" s="7" t="str">
        <f>"本科"</f>
        <v>本科</v>
      </c>
      <c r="I1304" s="7" t="str">
        <f t="shared" si="522"/>
        <v>幼儿园教师资格</v>
      </c>
    </row>
    <row r="1305" customHeight="1" spans="1:9">
      <c r="A1305" s="6">
        <v>1303</v>
      </c>
      <c r="B1305" s="7" t="s">
        <v>11</v>
      </c>
      <c r="C1305" s="8" t="str">
        <f>"李萍"</f>
        <v>李萍</v>
      </c>
      <c r="D1305" s="8" t="str">
        <f t="shared" si="529"/>
        <v>女</v>
      </c>
      <c r="E1305" s="7" t="str">
        <f>"220183199508040029"</f>
        <v>220183199508040029</v>
      </c>
      <c r="F1305" s="7" t="str">
        <f>"长春教育学院"</f>
        <v>长春教育学院</v>
      </c>
      <c r="G1305" s="7" t="str">
        <f t="shared" si="531"/>
        <v>学前教育</v>
      </c>
      <c r="H1305" s="7" t="str">
        <f t="shared" si="532"/>
        <v>专科</v>
      </c>
      <c r="I1305" s="7" t="str">
        <f t="shared" si="522"/>
        <v>幼儿园教师资格</v>
      </c>
    </row>
    <row r="1306" customHeight="1" spans="1:9">
      <c r="A1306" s="6">
        <v>1304</v>
      </c>
      <c r="B1306" s="7" t="s">
        <v>11</v>
      </c>
      <c r="C1306" s="8" t="str">
        <f>"杨淑云"</f>
        <v>杨淑云</v>
      </c>
      <c r="D1306" s="8" t="str">
        <f t="shared" si="529"/>
        <v>女</v>
      </c>
      <c r="E1306" s="7" t="str">
        <f>"460005199407222325"</f>
        <v>460005199407222325</v>
      </c>
      <c r="F1306" s="7" t="str">
        <f t="shared" ref="F1306:F1314" si="533">"琼台师范学院"</f>
        <v>琼台师范学院</v>
      </c>
      <c r="G1306" s="7" t="str">
        <f t="shared" si="531"/>
        <v>学前教育</v>
      </c>
      <c r="H1306" s="7" t="str">
        <f>"专科(高职)"</f>
        <v>专科(高职)</v>
      </c>
      <c r="I1306" s="7" t="str">
        <f t="shared" si="522"/>
        <v>幼儿园教师资格</v>
      </c>
    </row>
    <row r="1307" customHeight="1" spans="1:9">
      <c r="A1307" s="6">
        <v>1305</v>
      </c>
      <c r="B1307" s="7" t="s">
        <v>11</v>
      </c>
      <c r="C1307" s="8" t="str">
        <f>"吴少敏"</f>
        <v>吴少敏</v>
      </c>
      <c r="D1307" s="8" t="str">
        <f t="shared" si="529"/>
        <v>女</v>
      </c>
      <c r="E1307" s="7" t="str">
        <f>"460004199103205044"</f>
        <v>460004199103205044</v>
      </c>
      <c r="F1307" s="7" t="str">
        <f>"琼州学院"</f>
        <v>琼州学院</v>
      </c>
      <c r="G1307" s="7" t="str">
        <f t="shared" si="531"/>
        <v>学前教育</v>
      </c>
      <c r="H1307" s="7" t="str">
        <f t="shared" si="532"/>
        <v>专科</v>
      </c>
      <c r="I1307" s="7" t="str">
        <f t="shared" si="522"/>
        <v>幼儿园教师资格</v>
      </c>
    </row>
    <row r="1308" customHeight="1" spans="1:9">
      <c r="A1308" s="6">
        <v>1306</v>
      </c>
      <c r="B1308" s="7" t="s">
        <v>10</v>
      </c>
      <c r="C1308" s="8" t="str">
        <f>"伍晓雯  "</f>
        <v>伍晓雯  </v>
      </c>
      <c r="D1308" s="8" t="str">
        <f t="shared" si="529"/>
        <v>女</v>
      </c>
      <c r="E1308" s="7" t="str">
        <f>"460006199707227220"</f>
        <v>460006199707227220</v>
      </c>
      <c r="F1308" s="7" t="str">
        <f t="shared" si="533"/>
        <v>琼台师范学院</v>
      </c>
      <c r="G1308" s="7" t="str">
        <f>"学前教育（英语教育方向）"</f>
        <v>学前教育（英语教育方向）</v>
      </c>
      <c r="H1308" s="7" t="str">
        <f t="shared" si="532"/>
        <v>专科</v>
      </c>
      <c r="I1308" s="7" t="str">
        <f t="shared" si="522"/>
        <v>幼儿园教师资格</v>
      </c>
    </row>
    <row r="1309" customHeight="1" spans="1:9">
      <c r="A1309" s="6">
        <v>1307</v>
      </c>
      <c r="B1309" s="7" t="s">
        <v>10</v>
      </c>
      <c r="C1309" s="8" t="str">
        <f>"符婧婧"</f>
        <v>符婧婧</v>
      </c>
      <c r="D1309" s="8" t="str">
        <f t="shared" si="529"/>
        <v>女</v>
      </c>
      <c r="E1309" s="7" t="str">
        <f>"460031199709130023"</f>
        <v>460031199709130023</v>
      </c>
      <c r="F1309" s="7" t="str">
        <f>"广西幼儿师范高等专科学校"</f>
        <v>广西幼儿师范高等专科学校</v>
      </c>
      <c r="G1309" s="7" t="str">
        <f t="shared" ref="G1309:G1312" si="534">"学前教育"</f>
        <v>学前教育</v>
      </c>
      <c r="H1309" s="7" t="str">
        <f t="shared" si="532"/>
        <v>专科</v>
      </c>
      <c r="I1309" s="7" t="str">
        <f t="shared" si="522"/>
        <v>幼儿园教师资格</v>
      </c>
    </row>
    <row r="1310" customHeight="1" spans="1:9">
      <c r="A1310" s="6">
        <v>1308</v>
      </c>
      <c r="B1310" s="7" t="s">
        <v>10</v>
      </c>
      <c r="C1310" s="8" t="str">
        <f>"钟佳伶"</f>
        <v>钟佳伶</v>
      </c>
      <c r="D1310" s="8" t="str">
        <f t="shared" si="529"/>
        <v>女</v>
      </c>
      <c r="E1310" s="7" t="str">
        <f>"460002199202242526"</f>
        <v>460002199202242526</v>
      </c>
      <c r="F1310" s="7" t="str">
        <f>"井冈山大学"</f>
        <v>井冈山大学</v>
      </c>
      <c r="G1310" s="7" t="str">
        <f t="shared" si="534"/>
        <v>学前教育</v>
      </c>
      <c r="H1310" s="7" t="str">
        <f>"本科"</f>
        <v>本科</v>
      </c>
      <c r="I1310" s="7" t="str">
        <f t="shared" si="522"/>
        <v>幼儿园教师资格</v>
      </c>
    </row>
    <row r="1311" customHeight="1" spans="1:9">
      <c r="A1311" s="6">
        <v>1309</v>
      </c>
      <c r="B1311" s="7" t="s">
        <v>10</v>
      </c>
      <c r="C1311" s="8" t="str">
        <f>"王意然"</f>
        <v>王意然</v>
      </c>
      <c r="D1311" s="8" t="str">
        <f t="shared" si="529"/>
        <v>女</v>
      </c>
      <c r="E1311" s="7" t="str">
        <f>"460028199907136022"</f>
        <v>460028199907136022</v>
      </c>
      <c r="F1311" s="7" t="str">
        <f t="shared" si="533"/>
        <v>琼台师范学院</v>
      </c>
      <c r="G1311" s="7" t="str">
        <f t="shared" si="534"/>
        <v>学前教育</v>
      </c>
      <c r="H1311" s="7" t="str">
        <f t="shared" ref="H1311:H1314" si="535">"专科"</f>
        <v>专科</v>
      </c>
      <c r="I1311" s="7" t="str">
        <f t="shared" si="522"/>
        <v>幼儿园教师资格</v>
      </c>
    </row>
    <row r="1312" customHeight="1" spans="1:9">
      <c r="A1312" s="6">
        <v>1310</v>
      </c>
      <c r="B1312" s="7" t="s">
        <v>10</v>
      </c>
      <c r="C1312" s="8" t="str">
        <f>"曾宝伦"</f>
        <v>曾宝伦</v>
      </c>
      <c r="D1312" s="8" t="str">
        <f t="shared" si="529"/>
        <v>女</v>
      </c>
      <c r="E1312" s="7" t="str">
        <f>"46000519930930452X"</f>
        <v>46000519930930452X</v>
      </c>
      <c r="F1312" s="7" t="str">
        <f t="shared" si="533"/>
        <v>琼台师范学院</v>
      </c>
      <c r="G1312" s="7" t="str">
        <f t="shared" si="534"/>
        <v>学前教育</v>
      </c>
      <c r="H1312" s="7" t="str">
        <f t="shared" si="535"/>
        <v>专科</v>
      </c>
      <c r="I1312" s="7" t="str">
        <f t="shared" si="522"/>
        <v>幼儿园教师资格</v>
      </c>
    </row>
    <row r="1313" customHeight="1" spans="1:9">
      <c r="A1313" s="6">
        <v>1311</v>
      </c>
      <c r="B1313" s="7" t="s">
        <v>10</v>
      </c>
      <c r="C1313" s="8" t="str">
        <f>"郑孟来"</f>
        <v>郑孟来</v>
      </c>
      <c r="D1313" s="8" t="str">
        <f t="shared" si="529"/>
        <v>女</v>
      </c>
      <c r="E1313" s="7" t="str">
        <f>"460026199702062127"</f>
        <v>460026199702062127</v>
      </c>
      <c r="F1313" s="7" t="str">
        <f t="shared" si="533"/>
        <v>琼台师范学院</v>
      </c>
      <c r="G1313" s="7" t="str">
        <f>"学前教育（英语方向）"</f>
        <v>学前教育（英语方向）</v>
      </c>
      <c r="H1313" s="7" t="str">
        <f t="shared" si="535"/>
        <v>专科</v>
      </c>
      <c r="I1313" s="7" t="str">
        <f t="shared" si="522"/>
        <v>幼儿园教师资格</v>
      </c>
    </row>
    <row r="1314" customHeight="1" spans="1:9">
      <c r="A1314" s="6">
        <v>1312</v>
      </c>
      <c r="B1314" s="7" t="s">
        <v>10</v>
      </c>
      <c r="C1314" s="8" t="str">
        <f>"范平苹"</f>
        <v>范平苹</v>
      </c>
      <c r="D1314" s="8" t="str">
        <f t="shared" si="529"/>
        <v>女</v>
      </c>
      <c r="E1314" s="7" t="str">
        <f>"460007199605100049"</f>
        <v>460007199605100049</v>
      </c>
      <c r="F1314" s="7" t="str">
        <f t="shared" si="533"/>
        <v>琼台师范学院</v>
      </c>
      <c r="G1314" s="7" t="str">
        <f t="shared" ref="G1314:G1316" si="536">"学前教育"</f>
        <v>学前教育</v>
      </c>
      <c r="H1314" s="7" t="str">
        <f t="shared" si="535"/>
        <v>专科</v>
      </c>
      <c r="I1314" s="7" t="str">
        <f t="shared" si="522"/>
        <v>幼儿园教师资格</v>
      </c>
    </row>
    <row r="1315" customHeight="1" spans="1:9">
      <c r="A1315" s="6">
        <v>1313</v>
      </c>
      <c r="B1315" s="7" t="s">
        <v>10</v>
      </c>
      <c r="C1315" s="8" t="str">
        <f>"唐静静"</f>
        <v>唐静静</v>
      </c>
      <c r="D1315" s="8" t="str">
        <f t="shared" si="529"/>
        <v>女</v>
      </c>
      <c r="E1315" s="7" t="str">
        <f>"452132199501242124"</f>
        <v>452132199501242124</v>
      </c>
      <c r="F1315" s="7" t="str">
        <f>"邯郸学院"</f>
        <v>邯郸学院</v>
      </c>
      <c r="G1315" s="7" t="str">
        <f t="shared" si="536"/>
        <v>学前教育</v>
      </c>
      <c r="H1315" s="7" t="str">
        <f>"本科"</f>
        <v>本科</v>
      </c>
      <c r="I1315" s="7" t="str">
        <f t="shared" si="522"/>
        <v>幼儿园教师资格</v>
      </c>
    </row>
    <row r="1316" customHeight="1" spans="1:9">
      <c r="A1316" s="6">
        <v>1314</v>
      </c>
      <c r="B1316" s="7" t="s">
        <v>10</v>
      </c>
      <c r="C1316" s="8" t="str">
        <f>"符焕泽"</f>
        <v>符焕泽</v>
      </c>
      <c r="D1316" s="8" t="str">
        <f t="shared" si="529"/>
        <v>女</v>
      </c>
      <c r="E1316" s="7" t="str">
        <f>"460007199610305364"</f>
        <v>460007199610305364</v>
      </c>
      <c r="F1316" s="7" t="str">
        <f>"海南省海南热带海洋学院"</f>
        <v>海南省海南热带海洋学院</v>
      </c>
      <c r="G1316" s="7" t="str">
        <f t="shared" si="536"/>
        <v>学前教育</v>
      </c>
      <c r="H1316" s="7" t="str">
        <f t="shared" ref="H1316:H1319" si="537">"专科"</f>
        <v>专科</v>
      </c>
      <c r="I1316" s="7" t="str">
        <f t="shared" si="522"/>
        <v>幼儿园教师资格</v>
      </c>
    </row>
    <row r="1317" customHeight="1" spans="1:9">
      <c r="A1317" s="6">
        <v>1315</v>
      </c>
      <c r="B1317" s="7" t="s">
        <v>12</v>
      </c>
      <c r="C1317" s="8" t="str">
        <f>"刘婷"</f>
        <v>刘婷</v>
      </c>
      <c r="D1317" s="8" t="str">
        <f t="shared" si="529"/>
        <v>女</v>
      </c>
      <c r="E1317" s="7" t="str">
        <f>"46902619950426042X"</f>
        <v>46902619950426042X</v>
      </c>
      <c r="F1317" s="7" t="str">
        <f>"柳州城市职业学院"</f>
        <v>柳州城市职业学院</v>
      </c>
      <c r="G1317" s="7" t="str">
        <f>"学期教育"</f>
        <v>学期教育</v>
      </c>
      <c r="H1317" s="12" t="s">
        <v>13</v>
      </c>
      <c r="I1317" s="7" t="str">
        <f t="shared" si="522"/>
        <v>幼儿园教师资格</v>
      </c>
    </row>
    <row r="1318" customHeight="1" spans="1:9">
      <c r="A1318" s="6">
        <v>1316</v>
      </c>
      <c r="B1318" s="7" t="s">
        <v>12</v>
      </c>
      <c r="C1318" s="8" t="str">
        <f>"张怡"</f>
        <v>张怡</v>
      </c>
      <c r="D1318" s="8" t="str">
        <f t="shared" si="529"/>
        <v>女</v>
      </c>
      <c r="E1318" s="7" t="str">
        <f>"460026199508023941"</f>
        <v>460026199508023941</v>
      </c>
      <c r="F1318" s="7" t="str">
        <f>"海南热带海洋学院"</f>
        <v>海南热带海洋学院</v>
      </c>
      <c r="G1318" s="7" t="str">
        <f t="shared" ref="G1318:G1323" si="538">"学前教育"</f>
        <v>学前教育</v>
      </c>
      <c r="H1318" s="7" t="str">
        <f t="shared" si="537"/>
        <v>专科</v>
      </c>
      <c r="I1318" s="7" t="str">
        <f t="shared" si="522"/>
        <v>幼儿园教师资格</v>
      </c>
    </row>
    <row r="1319" customHeight="1" spans="1:9">
      <c r="A1319" s="6">
        <v>1317</v>
      </c>
      <c r="B1319" s="7" t="s">
        <v>10</v>
      </c>
      <c r="C1319" s="8" t="str">
        <f>"朱雪莹"</f>
        <v>朱雪莹</v>
      </c>
      <c r="D1319" s="8" t="str">
        <f t="shared" si="529"/>
        <v>女</v>
      </c>
      <c r="E1319" s="7" t="str">
        <f>"460026199605300322"</f>
        <v>460026199605300322</v>
      </c>
      <c r="F1319" s="7" t="str">
        <f>"湖北省仙桃市仙桃职业学院"</f>
        <v>湖北省仙桃市仙桃职业学院</v>
      </c>
      <c r="G1319" s="7" t="str">
        <f>"学前教育系"</f>
        <v>学前教育系</v>
      </c>
      <c r="H1319" s="7" t="str">
        <f t="shared" si="537"/>
        <v>专科</v>
      </c>
      <c r="I1319" s="7" t="str">
        <f t="shared" si="522"/>
        <v>幼儿园教师资格</v>
      </c>
    </row>
    <row r="1320" customHeight="1" spans="1:9">
      <c r="A1320" s="6">
        <v>1318</v>
      </c>
      <c r="B1320" s="7" t="s">
        <v>11</v>
      </c>
      <c r="C1320" s="8" t="str">
        <f>"刘丹"</f>
        <v>刘丹</v>
      </c>
      <c r="D1320" s="8" t="str">
        <f t="shared" si="529"/>
        <v>女</v>
      </c>
      <c r="E1320" s="7" t="str">
        <f>"460027199310067929"</f>
        <v>460027199310067929</v>
      </c>
      <c r="F1320" s="7" t="str">
        <f>"海南省琼台师范学院"</f>
        <v>海南省琼台师范学院</v>
      </c>
      <c r="G1320" s="7" t="str">
        <f t="shared" si="538"/>
        <v>学前教育</v>
      </c>
      <c r="H1320" s="7" t="str">
        <f>"专科(高职)"</f>
        <v>专科(高职)</v>
      </c>
      <c r="I1320" s="7" t="str">
        <f t="shared" si="522"/>
        <v>幼儿园教师资格</v>
      </c>
    </row>
    <row r="1321" customHeight="1" spans="1:9">
      <c r="A1321" s="6">
        <v>1319</v>
      </c>
      <c r="B1321" s="7" t="s">
        <v>12</v>
      </c>
      <c r="C1321" s="8" t="str">
        <f>"林思彤"</f>
        <v>林思彤</v>
      </c>
      <c r="D1321" s="8" t="str">
        <f t="shared" si="529"/>
        <v>女</v>
      </c>
      <c r="E1321" s="7" t="str">
        <f>"460004199903085626"</f>
        <v>460004199903085626</v>
      </c>
      <c r="F1321" s="7" t="str">
        <f t="shared" ref="F1321:F1325" si="539">"琼台师范学院"</f>
        <v>琼台师范学院</v>
      </c>
      <c r="G1321" s="7" t="str">
        <f t="shared" si="538"/>
        <v>学前教育</v>
      </c>
      <c r="H1321" s="7" t="str">
        <f>"专科(高职)"</f>
        <v>专科(高职)</v>
      </c>
      <c r="I1321" s="7" t="str">
        <f t="shared" si="522"/>
        <v>幼儿园教师资格</v>
      </c>
    </row>
    <row r="1322" customHeight="1" spans="1:9">
      <c r="A1322" s="6">
        <v>1320</v>
      </c>
      <c r="B1322" s="7" t="s">
        <v>10</v>
      </c>
      <c r="C1322" s="8" t="str">
        <f>"叶慧"</f>
        <v>叶慧</v>
      </c>
      <c r="D1322" s="8" t="str">
        <f t="shared" si="529"/>
        <v>女</v>
      </c>
      <c r="E1322" s="7" t="str">
        <f>"460027199703180041"</f>
        <v>460027199703180041</v>
      </c>
      <c r="F1322" s="7" t="str">
        <f t="shared" si="539"/>
        <v>琼台师范学院</v>
      </c>
      <c r="G1322" s="7" t="str">
        <f t="shared" si="538"/>
        <v>学前教育</v>
      </c>
      <c r="H1322" s="7" t="str">
        <f t="shared" ref="H1322:H1328" si="540">"专科"</f>
        <v>专科</v>
      </c>
      <c r="I1322" s="7" t="str">
        <f t="shared" si="522"/>
        <v>幼儿园教师资格</v>
      </c>
    </row>
    <row r="1323" customHeight="1" spans="1:9">
      <c r="A1323" s="6">
        <v>1321</v>
      </c>
      <c r="B1323" s="7" t="s">
        <v>12</v>
      </c>
      <c r="C1323" s="8" t="str">
        <f>"黄雯瑶"</f>
        <v>黄雯瑶</v>
      </c>
      <c r="D1323" s="8" t="str">
        <f t="shared" si="529"/>
        <v>女</v>
      </c>
      <c r="E1323" s="7" t="str">
        <f>"460003199111250025"</f>
        <v>460003199111250025</v>
      </c>
      <c r="F1323" s="7" t="str">
        <f>"琼州学院"</f>
        <v>琼州学院</v>
      </c>
      <c r="G1323" s="7" t="str">
        <f t="shared" si="538"/>
        <v>学前教育</v>
      </c>
      <c r="H1323" s="7" t="str">
        <f t="shared" si="540"/>
        <v>专科</v>
      </c>
      <c r="I1323" s="7" t="str">
        <f t="shared" si="522"/>
        <v>幼儿园教师资格</v>
      </c>
    </row>
    <row r="1324" customHeight="1" spans="1:9">
      <c r="A1324" s="6">
        <v>1322</v>
      </c>
      <c r="B1324" s="7" t="s">
        <v>11</v>
      </c>
      <c r="C1324" s="8" t="str">
        <f>"周小英"</f>
        <v>周小英</v>
      </c>
      <c r="D1324" s="8" t="str">
        <f t="shared" si="529"/>
        <v>女</v>
      </c>
      <c r="E1324" s="7" t="str">
        <f>"460003199402204061"</f>
        <v>460003199402204061</v>
      </c>
      <c r="F1324" s="7" t="str">
        <f>"云南省丽江师范高等专科学校"</f>
        <v>云南省丽江师范高等专科学校</v>
      </c>
      <c r="G1324" s="7" t="str">
        <f>"学前教育专业"</f>
        <v>学前教育专业</v>
      </c>
      <c r="H1324" s="7" t="str">
        <f t="shared" si="540"/>
        <v>专科</v>
      </c>
      <c r="I1324" s="7" t="str">
        <f t="shared" si="522"/>
        <v>幼儿园教师资格</v>
      </c>
    </row>
    <row r="1325" customHeight="1" spans="1:9">
      <c r="A1325" s="6">
        <v>1323</v>
      </c>
      <c r="B1325" s="7" t="s">
        <v>11</v>
      </c>
      <c r="C1325" s="8" t="str">
        <f>"何家依"</f>
        <v>何家依</v>
      </c>
      <c r="D1325" s="8" t="str">
        <f t="shared" si="529"/>
        <v>女</v>
      </c>
      <c r="E1325" s="7" t="str">
        <f>"460031199911265626"</f>
        <v>460031199911265626</v>
      </c>
      <c r="F1325" s="7" t="str">
        <f t="shared" si="539"/>
        <v>琼台师范学院</v>
      </c>
      <c r="G1325" s="7" t="str">
        <f t="shared" ref="G1325:G1331" si="541">"学前教育"</f>
        <v>学前教育</v>
      </c>
      <c r="H1325" s="7" t="str">
        <f t="shared" si="540"/>
        <v>专科</v>
      </c>
      <c r="I1325" s="7" t="str">
        <f t="shared" si="522"/>
        <v>幼儿园教师资格</v>
      </c>
    </row>
    <row r="1326" customHeight="1" spans="1:9">
      <c r="A1326" s="6">
        <v>1324</v>
      </c>
      <c r="B1326" s="7" t="s">
        <v>11</v>
      </c>
      <c r="C1326" s="8" t="str">
        <f>"李启花"</f>
        <v>李启花</v>
      </c>
      <c r="D1326" s="8" t="str">
        <f t="shared" si="529"/>
        <v>女</v>
      </c>
      <c r="E1326" s="7" t="str">
        <f>"460003199706034444"</f>
        <v>460003199706034444</v>
      </c>
      <c r="F1326" s="7" t="str">
        <f>"海南省海口市琼台师范学院"</f>
        <v>海南省海口市琼台师范学院</v>
      </c>
      <c r="G1326" s="7" t="str">
        <f t="shared" si="541"/>
        <v>学前教育</v>
      </c>
      <c r="H1326" s="7" t="str">
        <f t="shared" si="540"/>
        <v>专科</v>
      </c>
      <c r="I1326" s="7" t="str">
        <f t="shared" si="522"/>
        <v>幼儿园教师资格</v>
      </c>
    </row>
    <row r="1327" customHeight="1" spans="1:9">
      <c r="A1327" s="6">
        <v>1325</v>
      </c>
      <c r="B1327" s="7" t="s">
        <v>11</v>
      </c>
      <c r="C1327" s="8" t="str">
        <f>"赖彩珠"</f>
        <v>赖彩珠</v>
      </c>
      <c r="D1327" s="8" t="str">
        <f t="shared" si="529"/>
        <v>女</v>
      </c>
      <c r="E1327" s="7" t="str">
        <f>"460006199712228420"</f>
        <v>460006199712228420</v>
      </c>
      <c r="F1327" s="7" t="str">
        <f t="shared" ref="F1327:F1330" si="542">"琼台师范学院"</f>
        <v>琼台师范学院</v>
      </c>
      <c r="G1327" s="7" t="str">
        <f t="shared" si="541"/>
        <v>学前教育</v>
      </c>
      <c r="H1327" s="7" t="str">
        <f t="shared" si="540"/>
        <v>专科</v>
      </c>
      <c r="I1327" s="7" t="str">
        <f t="shared" si="522"/>
        <v>幼儿园教师资格</v>
      </c>
    </row>
    <row r="1328" customHeight="1" spans="1:9">
      <c r="A1328" s="6">
        <v>1326</v>
      </c>
      <c r="B1328" s="7" t="s">
        <v>11</v>
      </c>
      <c r="C1328" s="8" t="str">
        <f>"蔡二女"</f>
        <v>蔡二女</v>
      </c>
      <c r="D1328" s="8" t="str">
        <f t="shared" si="529"/>
        <v>女</v>
      </c>
      <c r="E1328" s="7" t="str">
        <f>"460003199402104044"</f>
        <v>460003199402104044</v>
      </c>
      <c r="F1328" s="7" t="str">
        <f>"海南热带海洋学院"</f>
        <v>海南热带海洋学院</v>
      </c>
      <c r="G1328" s="7" t="str">
        <f t="shared" si="541"/>
        <v>学前教育</v>
      </c>
      <c r="H1328" s="7" t="str">
        <f t="shared" si="540"/>
        <v>专科</v>
      </c>
      <c r="I1328" s="7" t="str">
        <f t="shared" si="522"/>
        <v>幼儿园教师资格</v>
      </c>
    </row>
    <row r="1329" customHeight="1" spans="1:9">
      <c r="A1329" s="6">
        <v>1327</v>
      </c>
      <c r="B1329" s="7" t="s">
        <v>10</v>
      </c>
      <c r="C1329" s="8" t="str">
        <f>"黎欣"</f>
        <v>黎欣</v>
      </c>
      <c r="D1329" s="8" t="str">
        <f t="shared" si="529"/>
        <v>女</v>
      </c>
      <c r="E1329" s="7" t="str">
        <f>"46000219981114522X"</f>
        <v>46000219981114522X</v>
      </c>
      <c r="F1329" s="7" t="str">
        <f t="shared" si="542"/>
        <v>琼台师范学院</v>
      </c>
      <c r="G1329" s="7" t="str">
        <f t="shared" si="541"/>
        <v>学前教育</v>
      </c>
      <c r="H1329" s="7" t="str">
        <f>"专科(高职)"</f>
        <v>专科(高职)</v>
      </c>
      <c r="I1329" s="7" t="str">
        <f t="shared" si="522"/>
        <v>幼儿园教师资格</v>
      </c>
    </row>
    <row r="1330" customHeight="1" spans="1:9">
      <c r="A1330" s="6">
        <v>1328</v>
      </c>
      <c r="B1330" s="7" t="s">
        <v>10</v>
      </c>
      <c r="C1330" s="8" t="str">
        <f>"王小妹"</f>
        <v>王小妹</v>
      </c>
      <c r="D1330" s="8" t="str">
        <f t="shared" si="529"/>
        <v>女</v>
      </c>
      <c r="E1330" s="7" t="str">
        <f>"460028199605287626"</f>
        <v>460028199605287626</v>
      </c>
      <c r="F1330" s="7" t="str">
        <f t="shared" si="542"/>
        <v>琼台师范学院</v>
      </c>
      <c r="G1330" s="7" t="str">
        <f t="shared" si="541"/>
        <v>学前教育</v>
      </c>
      <c r="H1330" s="7" t="str">
        <f t="shared" ref="H1330:H1339" si="543">"专科"</f>
        <v>专科</v>
      </c>
      <c r="I1330" s="7" t="str">
        <f t="shared" si="522"/>
        <v>幼儿园教师资格</v>
      </c>
    </row>
    <row r="1331" customHeight="1" spans="1:9">
      <c r="A1331" s="6">
        <v>1329</v>
      </c>
      <c r="B1331" s="7" t="s">
        <v>10</v>
      </c>
      <c r="C1331" s="8" t="str">
        <f>"陈瑞玉"</f>
        <v>陈瑞玉</v>
      </c>
      <c r="D1331" s="8" t="str">
        <f t="shared" si="529"/>
        <v>女</v>
      </c>
      <c r="E1331" s="7" t="str">
        <f>"460006199102280029"</f>
        <v>460006199102280029</v>
      </c>
      <c r="F1331" s="7" t="str">
        <f>"衡水学院"</f>
        <v>衡水学院</v>
      </c>
      <c r="G1331" s="7" t="str">
        <f t="shared" si="541"/>
        <v>学前教育</v>
      </c>
      <c r="H1331" s="7" t="str">
        <f t="shared" si="543"/>
        <v>专科</v>
      </c>
      <c r="I1331" s="7" t="str">
        <f t="shared" si="522"/>
        <v>幼儿园教师资格</v>
      </c>
    </row>
    <row r="1332" customHeight="1" spans="1:9">
      <c r="A1332" s="6">
        <v>1330</v>
      </c>
      <c r="B1332" s="7" t="s">
        <v>10</v>
      </c>
      <c r="C1332" s="8" t="str">
        <f>"陈温香"</f>
        <v>陈温香</v>
      </c>
      <c r="D1332" s="8" t="str">
        <f t="shared" si="529"/>
        <v>女</v>
      </c>
      <c r="E1332" s="7" t="str">
        <f>"460003199503087669"</f>
        <v>460003199503087669</v>
      </c>
      <c r="F1332" s="7" t="str">
        <f>"海南热带海洋学院"</f>
        <v>海南热带海洋学院</v>
      </c>
      <c r="G1332" s="7" t="str">
        <f>"学前教育（师范）"</f>
        <v>学前教育（师范）</v>
      </c>
      <c r="H1332" s="7" t="str">
        <f>"本科"</f>
        <v>本科</v>
      </c>
      <c r="I1332" s="7" t="str">
        <f t="shared" si="522"/>
        <v>幼儿园教师资格</v>
      </c>
    </row>
    <row r="1333" customHeight="1" spans="1:9">
      <c r="A1333" s="6">
        <v>1331</v>
      </c>
      <c r="B1333" s="7" t="s">
        <v>10</v>
      </c>
      <c r="C1333" s="8" t="str">
        <f>"钟艳萍"</f>
        <v>钟艳萍</v>
      </c>
      <c r="D1333" s="8" t="str">
        <f t="shared" si="529"/>
        <v>女</v>
      </c>
      <c r="E1333" s="7" t="str">
        <f>"460003199709066847"</f>
        <v>460003199709066847</v>
      </c>
      <c r="F1333" s="7" t="str">
        <f t="shared" ref="F1333:F1338" si="544">"琼台师范学院"</f>
        <v>琼台师范学院</v>
      </c>
      <c r="G1333" s="7" t="str">
        <f t="shared" ref="G1333:G1338" si="545">"学前教育"</f>
        <v>学前教育</v>
      </c>
      <c r="H1333" s="7" t="str">
        <f t="shared" si="543"/>
        <v>专科</v>
      </c>
      <c r="I1333" s="7" t="str">
        <f t="shared" si="522"/>
        <v>幼儿园教师资格</v>
      </c>
    </row>
    <row r="1334" customHeight="1" spans="1:9">
      <c r="A1334" s="6">
        <v>1332</v>
      </c>
      <c r="B1334" s="7" t="s">
        <v>10</v>
      </c>
      <c r="C1334" s="8" t="str">
        <f>"周小玲"</f>
        <v>周小玲</v>
      </c>
      <c r="D1334" s="8" t="str">
        <f t="shared" si="529"/>
        <v>女</v>
      </c>
      <c r="E1334" s="7" t="str">
        <f>"460028199210154044"</f>
        <v>460028199210154044</v>
      </c>
      <c r="F1334" s="7" t="str">
        <f>"海南师范大学"</f>
        <v>海南师范大学</v>
      </c>
      <c r="G1334" s="7" t="str">
        <f t="shared" si="545"/>
        <v>学前教育</v>
      </c>
      <c r="H1334" s="7" t="str">
        <f t="shared" si="543"/>
        <v>专科</v>
      </c>
      <c r="I1334" s="7" t="str">
        <f t="shared" si="522"/>
        <v>幼儿园教师资格</v>
      </c>
    </row>
    <row r="1335" customHeight="1" spans="1:9">
      <c r="A1335" s="6">
        <v>1333</v>
      </c>
      <c r="B1335" s="7" t="s">
        <v>10</v>
      </c>
      <c r="C1335" s="8" t="str">
        <f>"余宛鲛"</f>
        <v>余宛鲛</v>
      </c>
      <c r="D1335" s="8" t="str">
        <f t="shared" si="529"/>
        <v>女</v>
      </c>
      <c r="E1335" s="7" t="str">
        <f>"460028199511111603"</f>
        <v>460028199511111603</v>
      </c>
      <c r="F1335" s="7" t="str">
        <f>"海南省琼州学院"</f>
        <v>海南省琼州学院</v>
      </c>
      <c r="G1335" s="7" t="str">
        <f t="shared" si="545"/>
        <v>学前教育</v>
      </c>
      <c r="H1335" s="7" t="str">
        <f t="shared" si="543"/>
        <v>专科</v>
      </c>
      <c r="I1335" s="7" t="str">
        <f t="shared" si="522"/>
        <v>幼儿园教师资格</v>
      </c>
    </row>
    <row r="1336" customHeight="1" spans="1:9">
      <c r="A1336" s="6">
        <v>1334</v>
      </c>
      <c r="B1336" s="7" t="s">
        <v>10</v>
      </c>
      <c r="C1336" s="8" t="str">
        <f>"钟茂玲"</f>
        <v>钟茂玲</v>
      </c>
      <c r="D1336" s="8" t="str">
        <f t="shared" si="529"/>
        <v>女</v>
      </c>
      <c r="E1336" s="7" t="str">
        <f>"460035199609271326"</f>
        <v>460035199609271326</v>
      </c>
      <c r="F1336" s="7" t="str">
        <f>"萍乡学院"</f>
        <v>萍乡学院</v>
      </c>
      <c r="G1336" s="7" t="str">
        <f t="shared" si="545"/>
        <v>学前教育</v>
      </c>
      <c r="H1336" s="7" t="str">
        <f t="shared" si="543"/>
        <v>专科</v>
      </c>
      <c r="I1336" s="7" t="str">
        <f t="shared" si="522"/>
        <v>幼儿园教师资格</v>
      </c>
    </row>
    <row r="1337" customHeight="1" spans="1:9">
      <c r="A1337" s="6">
        <v>1335</v>
      </c>
      <c r="B1337" s="7" t="s">
        <v>12</v>
      </c>
      <c r="C1337" s="8" t="str">
        <f>"龙海燕"</f>
        <v>龙海燕</v>
      </c>
      <c r="D1337" s="8" t="str">
        <f t="shared" si="529"/>
        <v>女</v>
      </c>
      <c r="E1337" s="7" t="str">
        <f>"460005199603251027"</f>
        <v>460005199603251027</v>
      </c>
      <c r="F1337" s="7" t="str">
        <f t="shared" si="544"/>
        <v>琼台师范学院</v>
      </c>
      <c r="G1337" s="7" t="str">
        <f t="shared" si="545"/>
        <v>学前教育</v>
      </c>
      <c r="H1337" s="7" t="str">
        <f t="shared" si="543"/>
        <v>专科</v>
      </c>
      <c r="I1337" s="7" t="str">
        <f t="shared" si="522"/>
        <v>幼儿园教师资格</v>
      </c>
    </row>
    <row r="1338" customHeight="1" spans="1:9">
      <c r="A1338" s="6">
        <v>1336</v>
      </c>
      <c r="B1338" s="7" t="s">
        <v>10</v>
      </c>
      <c r="C1338" s="8" t="str">
        <f>"陈雪怡"</f>
        <v>陈雪怡</v>
      </c>
      <c r="D1338" s="8" t="str">
        <f t="shared" si="529"/>
        <v>女</v>
      </c>
      <c r="E1338" s="7" t="str">
        <f>"460004199605292221"</f>
        <v>460004199605292221</v>
      </c>
      <c r="F1338" s="7" t="str">
        <f t="shared" si="544"/>
        <v>琼台师范学院</v>
      </c>
      <c r="G1338" s="7" t="str">
        <f t="shared" si="545"/>
        <v>学前教育</v>
      </c>
      <c r="H1338" s="7" t="str">
        <f t="shared" si="543"/>
        <v>专科</v>
      </c>
      <c r="I1338" s="7" t="str">
        <f t="shared" si="522"/>
        <v>幼儿园教师资格</v>
      </c>
    </row>
    <row r="1339" customHeight="1" spans="1:9">
      <c r="A1339" s="6">
        <v>1337</v>
      </c>
      <c r="B1339" s="7" t="s">
        <v>12</v>
      </c>
      <c r="C1339" s="8" t="str">
        <f>"王亚丽"</f>
        <v>王亚丽</v>
      </c>
      <c r="D1339" s="8" t="str">
        <f t="shared" si="529"/>
        <v>女</v>
      </c>
      <c r="E1339" s="7" t="str">
        <f>"460004199212225247"</f>
        <v>460004199212225247</v>
      </c>
      <c r="F1339" s="7" t="str">
        <f t="shared" ref="F1339:F1343" si="546">"海南师范大学"</f>
        <v>海南师范大学</v>
      </c>
      <c r="G1339" s="7" t="str">
        <f>"学前教育专业"</f>
        <v>学前教育专业</v>
      </c>
      <c r="H1339" s="7" t="str">
        <f t="shared" si="543"/>
        <v>专科</v>
      </c>
      <c r="I1339" s="7" t="str">
        <f t="shared" si="522"/>
        <v>幼儿园教师资格</v>
      </c>
    </row>
    <row r="1340" customHeight="1" spans="1:9">
      <c r="A1340" s="6">
        <v>1338</v>
      </c>
      <c r="B1340" s="7" t="s">
        <v>11</v>
      </c>
      <c r="C1340" s="8" t="str">
        <f>"丁裕欢"</f>
        <v>丁裕欢</v>
      </c>
      <c r="D1340" s="8" t="str">
        <f t="shared" si="529"/>
        <v>女</v>
      </c>
      <c r="E1340" s="7" t="str">
        <f>"460003199608164229"</f>
        <v>460003199608164229</v>
      </c>
      <c r="F1340" s="7" t="str">
        <f>"琼台师范学院"</f>
        <v>琼台师范学院</v>
      </c>
      <c r="G1340" s="7" t="str">
        <f t="shared" ref="G1340:G1343" si="547">"学前教育"</f>
        <v>学前教育</v>
      </c>
      <c r="H1340" s="7" t="str">
        <f>"专科(高职)"</f>
        <v>专科(高职)</v>
      </c>
      <c r="I1340" s="7" t="str">
        <f t="shared" si="522"/>
        <v>幼儿园教师资格</v>
      </c>
    </row>
    <row r="1341" customHeight="1" spans="1:9">
      <c r="A1341" s="6">
        <v>1339</v>
      </c>
      <c r="B1341" s="7" t="s">
        <v>11</v>
      </c>
      <c r="C1341" s="8" t="str">
        <f>"吴欣羽"</f>
        <v>吴欣羽</v>
      </c>
      <c r="D1341" s="8" t="str">
        <f t="shared" si="529"/>
        <v>女</v>
      </c>
      <c r="E1341" s="7" t="str">
        <f>"460028199710223624"</f>
        <v>460028199710223624</v>
      </c>
      <c r="F1341" s="7" t="str">
        <f>"琼台师范学院"</f>
        <v>琼台师范学院</v>
      </c>
      <c r="G1341" s="7" t="str">
        <f t="shared" si="547"/>
        <v>学前教育</v>
      </c>
      <c r="H1341" s="7" t="str">
        <f>"专科(高职)"</f>
        <v>专科(高职)</v>
      </c>
      <c r="I1341" s="7" t="str">
        <f t="shared" si="522"/>
        <v>幼儿园教师资格</v>
      </c>
    </row>
    <row r="1342" customHeight="1" spans="1:9">
      <c r="A1342" s="6">
        <v>1340</v>
      </c>
      <c r="B1342" s="7" t="s">
        <v>12</v>
      </c>
      <c r="C1342" s="8" t="str">
        <f>"张庆溪"</f>
        <v>张庆溪</v>
      </c>
      <c r="D1342" s="8" t="str">
        <f t="shared" si="529"/>
        <v>女</v>
      </c>
      <c r="E1342" s="7" t="str">
        <f>"460032199409017682"</f>
        <v>460032199409017682</v>
      </c>
      <c r="F1342" s="7" t="str">
        <f t="shared" si="546"/>
        <v>海南师范大学</v>
      </c>
      <c r="G1342" s="7" t="str">
        <f t="shared" si="547"/>
        <v>学前教育</v>
      </c>
      <c r="H1342" s="7" t="str">
        <f t="shared" ref="H1342:H1348" si="548">"本科"</f>
        <v>本科</v>
      </c>
      <c r="I1342" s="7" t="str">
        <f t="shared" si="522"/>
        <v>幼儿园教师资格</v>
      </c>
    </row>
    <row r="1343" customHeight="1" spans="1:9">
      <c r="A1343" s="6">
        <v>1341</v>
      </c>
      <c r="B1343" s="7" t="s">
        <v>10</v>
      </c>
      <c r="C1343" s="8" t="str">
        <f>"王妹"</f>
        <v>王妹</v>
      </c>
      <c r="D1343" s="8" t="str">
        <f t="shared" si="529"/>
        <v>女</v>
      </c>
      <c r="E1343" s="7" t="str">
        <f>"460104199207300068"</f>
        <v>460104199207300068</v>
      </c>
      <c r="F1343" s="7" t="str">
        <f t="shared" si="546"/>
        <v>海南师范大学</v>
      </c>
      <c r="G1343" s="7" t="str">
        <f t="shared" si="547"/>
        <v>学前教育</v>
      </c>
      <c r="H1343" s="7" t="str">
        <f t="shared" si="548"/>
        <v>本科</v>
      </c>
      <c r="I1343" s="7" t="str">
        <f t="shared" si="522"/>
        <v>幼儿园教师资格</v>
      </c>
    </row>
    <row r="1344" customHeight="1" spans="1:9">
      <c r="A1344" s="6">
        <v>1342</v>
      </c>
      <c r="B1344" s="7" t="s">
        <v>10</v>
      </c>
      <c r="C1344" s="8" t="str">
        <f>"余盛叶"</f>
        <v>余盛叶</v>
      </c>
      <c r="D1344" s="8" t="str">
        <f t="shared" si="529"/>
        <v>女</v>
      </c>
      <c r="E1344" s="7" t="str">
        <f>"460006199311191321"</f>
        <v>460006199311191321</v>
      </c>
      <c r="F1344" s="7" t="str">
        <f>"海南热带海洋学院"</f>
        <v>海南热带海洋学院</v>
      </c>
      <c r="G1344" s="7" t="str">
        <f>"学前教育（师范）"</f>
        <v>学前教育（师范）</v>
      </c>
      <c r="H1344" s="7" t="str">
        <f t="shared" si="548"/>
        <v>本科</v>
      </c>
      <c r="I1344" s="7" t="str">
        <f t="shared" si="522"/>
        <v>幼儿园教师资格</v>
      </c>
    </row>
    <row r="1345" customHeight="1" spans="1:9">
      <c r="A1345" s="6">
        <v>1343</v>
      </c>
      <c r="B1345" s="7" t="s">
        <v>10</v>
      </c>
      <c r="C1345" s="8" t="str">
        <f>"林雪连"</f>
        <v>林雪连</v>
      </c>
      <c r="D1345" s="8" t="str">
        <f t="shared" si="529"/>
        <v>女</v>
      </c>
      <c r="E1345" s="7" t="str">
        <f>"460005199612272129"</f>
        <v>460005199612272129</v>
      </c>
      <c r="F1345" s="7" t="str">
        <f>"海南师范大学教育与心理学院"</f>
        <v>海南师范大学教育与心理学院</v>
      </c>
      <c r="G1345" s="7" t="str">
        <f t="shared" ref="G1345:G1355" si="549">"学前教育"</f>
        <v>学前教育</v>
      </c>
      <c r="H1345" s="7" t="str">
        <f t="shared" si="548"/>
        <v>本科</v>
      </c>
      <c r="I1345" s="7" t="str">
        <f t="shared" ref="I1345:I1406" si="550">"幼儿园教师资格"</f>
        <v>幼儿园教师资格</v>
      </c>
    </row>
    <row r="1346" customHeight="1" spans="1:9">
      <c r="A1346" s="6">
        <v>1344</v>
      </c>
      <c r="B1346" s="7" t="s">
        <v>12</v>
      </c>
      <c r="C1346" s="8" t="str">
        <f>"李琼香"</f>
        <v>李琼香</v>
      </c>
      <c r="D1346" s="8" t="str">
        <f t="shared" si="529"/>
        <v>女</v>
      </c>
      <c r="E1346" s="7" t="str">
        <f>"460003199403307660"</f>
        <v>460003199403307660</v>
      </c>
      <c r="F1346" s="7" t="str">
        <f>"海南师范大学教育与心理学院"</f>
        <v>海南师范大学教育与心理学院</v>
      </c>
      <c r="G1346" s="7" t="str">
        <f t="shared" si="549"/>
        <v>学前教育</v>
      </c>
      <c r="H1346" s="7" t="str">
        <f t="shared" si="548"/>
        <v>本科</v>
      </c>
      <c r="I1346" s="7" t="str">
        <f t="shared" si="550"/>
        <v>幼儿园教师资格</v>
      </c>
    </row>
    <row r="1347" customHeight="1" spans="1:9">
      <c r="A1347" s="6">
        <v>1345</v>
      </c>
      <c r="B1347" s="7" t="s">
        <v>10</v>
      </c>
      <c r="C1347" s="8" t="str">
        <f>"陶久鑫"</f>
        <v>陶久鑫</v>
      </c>
      <c r="D1347" s="8" t="str">
        <f>"男"</f>
        <v>男</v>
      </c>
      <c r="E1347" s="7" t="str">
        <f>"612524199402200211"</f>
        <v>612524199402200211</v>
      </c>
      <c r="F1347" s="7" t="str">
        <f t="shared" ref="F1347:F1349" si="551">"海南师范大学"</f>
        <v>海南师范大学</v>
      </c>
      <c r="G1347" s="7" t="str">
        <f>" 学前教育"</f>
        <v> 学前教育</v>
      </c>
      <c r="H1347" s="7" t="str">
        <f t="shared" si="548"/>
        <v>本科</v>
      </c>
      <c r="I1347" s="7" t="str">
        <f t="shared" si="550"/>
        <v>幼儿园教师资格</v>
      </c>
    </row>
    <row r="1348" customHeight="1" spans="1:9">
      <c r="A1348" s="6">
        <v>1346</v>
      </c>
      <c r="B1348" s="7" t="s">
        <v>10</v>
      </c>
      <c r="C1348" s="8" t="str">
        <f>"吴佳琦"</f>
        <v>吴佳琦</v>
      </c>
      <c r="D1348" s="8" t="str">
        <f t="shared" ref="D1348:D1389" si="552">"女"</f>
        <v>女</v>
      </c>
      <c r="E1348" s="7" t="str">
        <f>"120225199701110023"</f>
        <v>120225199701110023</v>
      </c>
      <c r="F1348" s="7" t="str">
        <f t="shared" si="551"/>
        <v>海南师范大学</v>
      </c>
      <c r="G1348" s="7" t="str">
        <f>" 学前教育"</f>
        <v> 学前教育</v>
      </c>
      <c r="H1348" s="7" t="str">
        <f t="shared" si="548"/>
        <v>本科</v>
      </c>
      <c r="I1348" s="7" t="str">
        <f t="shared" si="550"/>
        <v>幼儿园教师资格</v>
      </c>
    </row>
    <row r="1349" customHeight="1" spans="1:9">
      <c r="A1349" s="6">
        <v>1347</v>
      </c>
      <c r="B1349" s="7" t="s">
        <v>10</v>
      </c>
      <c r="C1349" s="8" t="str">
        <f>"张嘉莹"</f>
        <v>张嘉莹</v>
      </c>
      <c r="D1349" s="8" t="str">
        <f t="shared" si="552"/>
        <v>女</v>
      </c>
      <c r="E1349" s="7" t="str">
        <f>"460031199508266020"</f>
        <v>460031199508266020</v>
      </c>
      <c r="F1349" s="7" t="str">
        <f t="shared" si="551"/>
        <v>海南师范大学</v>
      </c>
      <c r="G1349" s="7" t="str">
        <f t="shared" si="549"/>
        <v>学前教育</v>
      </c>
      <c r="H1349" s="7" t="str">
        <f t="shared" ref="H1349:H1355" si="553">"专科"</f>
        <v>专科</v>
      </c>
      <c r="I1349" s="7" t="str">
        <f t="shared" si="550"/>
        <v>幼儿园教师资格</v>
      </c>
    </row>
    <row r="1350" customHeight="1" spans="1:9">
      <c r="A1350" s="6">
        <v>1348</v>
      </c>
      <c r="B1350" s="7" t="s">
        <v>10</v>
      </c>
      <c r="C1350" s="8" t="str">
        <f>"陈丽丹"</f>
        <v>陈丽丹</v>
      </c>
      <c r="D1350" s="8" t="str">
        <f t="shared" si="552"/>
        <v>女</v>
      </c>
      <c r="E1350" s="7" t="str">
        <f>"460026199203040628"</f>
        <v>460026199203040628</v>
      </c>
      <c r="F1350" s="7" t="str">
        <f>"忻州师范学院"</f>
        <v>忻州师范学院</v>
      </c>
      <c r="G1350" s="7" t="str">
        <f t="shared" si="549"/>
        <v>学前教育</v>
      </c>
      <c r="H1350" s="7" t="str">
        <f>"本科"</f>
        <v>本科</v>
      </c>
      <c r="I1350" s="7" t="str">
        <f t="shared" si="550"/>
        <v>幼儿园教师资格</v>
      </c>
    </row>
    <row r="1351" customHeight="1" spans="1:9">
      <c r="A1351" s="6">
        <v>1349</v>
      </c>
      <c r="B1351" s="7" t="s">
        <v>11</v>
      </c>
      <c r="C1351" s="8" t="str">
        <f>"许引弟"</f>
        <v>许引弟</v>
      </c>
      <c r="D1351" s="8" t="str">
        <f t="shared" si="552"/>
        <v>女</v>
      </c>
      <c r="E1351" s="7" t="str">
        <f>"460034199208031544"</f>
        <v>460034199208031544</v>
      </c>
      <c r="F1351" s="7" t="str">
        <f>"琼州学院"</f>
        <v>琼州学院</v>
      </c>
      <c r="G1351" s="7" t="str">
        <f t="shared" si="549"/>
        <v>学前教育</v>
      </c>
      <c r="H1351" s="7" t="str">
        <f t="shared" si="553"/>
        <v>专科</v>
      </c>
      <c r="I1351" s="7" t="str">
        <f t="shared" si="550"/>
        <v>幼儿园教师资格</v>
      </c>
    </row>
    <row r="1352" customHeight="1" spans="1:9">
      <c r="A1352" s="6">
        <v>1350</v>
      </c>
      <c r="B1352" s="7" t="s">
        <v>12</v>
      </c>
      <c r="C1352" s="8" t="str">
        <f>"李珠"</f>
        <v>李珠</v>
      </c>
      <c r="D1352" s="8" t="str">
        <f t="shared" si="552"/>
        <v>女</v>
      </c>
      <c r="E1352" s="7" t="str">
        <f>"46000219961123122X"</f>
        <v>46000219961123122X</v>
      </c>
      <c r="F1352" s="7" t="str">
        <f t="shared" ref="F1352:F1357" si="554">"琼台师范学院"</f>
        <v>琼台师范学院</v>
      </c>
      <c r="G1352" s="7" t="str">
        <f t="shared" si="549"/>
        <v>学前教育</v>
      </c>
      <c r="H1352" s="7" t="str">
        <f t="shared" si="553"/>
        <v>专科</v>
      </c>
      <c r="I1352" s="7" t="str">
        <f t="shared" si="550"/>
        <v>幼儿园教师资格</v>
      </c>
    </row>
    <row r="1353" customHeight="1" spans="1:9">
      <c r="A1353" s="6">
        <v>1351</v>
      </c>
      <c r="B1353" s="7" t="s">
        <v>12</v>
      </c>
      <c r="C1353" s="8" t="str">
        <f>"符贞英"</f>
        <v>符贞英</v>
      </c>
      <c r="D1353" s="8" t="str">
        <f t="shared" si="552"/>
        <v>女</v>
      </c>
      <c r="E1353" s="7" t="str">
        <f>"460032199210086226"</f>
        <v>460032199210086226</v>
      </c>
      <c r="F1353" s="7" t="str">
        <f>"衡水学院"</f>
        <v>衡水学院</v>
      </c>
      <c r="G1353" s="7" t="str">
        <f t="shared" si="549"/>
        <v>学前教育</v>
      </c>
      <c r="H1353" s="7" t="str">
        <f t="shared" si="553"/>
        <v>专科</v>
      </c>
      <c r="I1353" s="7" t="str">
        <f t="shared" si="550"/>
        <v>幼儿园教师资格</v>
      </c>
    </row>
    <row r="1354" customHeight="1" spans="1:9">
      <c r="A1354" s="6">
        <v>1352</v>
      </c>
      <c r="B1354" s="7" t="s">
        <v>11</v>
      </c>
      <c r="C1354" s="8" t="str">
        <f>"符雪雪"</f>
        <v>符雪雪</v>
      </c>
      <c r="D1354" s="8" t="str">
        <f t="shared" si="552"/>
        <v>女</v>
      </c>
      <c r="E1354" s="7" t="str">
        <f>"46002819970418004X"</f>
        <v>46002819970418004X</v>
      </c>
      <c r="F1354" s="7" t="str">
        <f>"海南热带海洋学校"</f>
        <v>海南热带海洋学校</v>
      </c>
      <c r="G1354" s="7" t="str">
        <f t="shared" si="549"/>
        <v>学前教育</v>
      </c>
      <c r="H1354" s="7" t="str">
        <f t="shared" si="553"/>
        <v>专科</v>
      </c>
      <c r="I1354" s="7" t="str">
        <f t="shared" si="550"/>
        <v>幼儿园教师资格</v>
      </c>
    </row>
    <row r="1355" customHeight="1" spans="1:9">
      <c r="A1355" s="6">
        <v>1353</v>
      </c>
      <c r="B1355" s="7" t="s">
        <v>12</v>
      </c>
      <c r="C1355" s="8" t="str">
        <f>"刘慧颖"</f>
        <v>刘慧颖</v>
      </c>
      <c r="D1355" s="8" t="str">
        <f t="shared" si="552"/>
        <v>女</v>
      </c>
      <c r="E1355" s="7" t="str">
        <f>"230802199007031329"</f>
        <v>230802199007031329</v>
      </c>
      <c r="F1355" s="7" t="str">
        <f>"佳木斯市职业学校"</f>
        <v>佳木斯市职业学校</v>
      </c>
      <c r="G1355" s="7" t="str">
        <f t="shared" si="549"/>
        <v>学前教育</v>
      </c>
      <c r="H1355" s="7" t="str">
        <f t="shared" si="553"/>
        <v>专科</v>
      </c>
      <c r="I1355" s="7" t="str">
        <f t="shared" si="550"/>
        <v>幼儿园教师资格</v>
      </c>
    </row>
    <row r="1356" customHeight="1" spans="1:9">
      <c r="A1356" s="6">
        <v>1354</v>
      </c>
      <c r="B1356" s="7" t="s">
        <v>10</v>
      </c>
      <c r="C1356" s="8" t="str">
        <f>"曾春娜"</f>
        <v>曾春娜</v>
      </c>
      <c r="D1356" s="8" t="str">
        <f t="shared" si="552"/>
        <v>女</v>
      </c>
      <c r="E1356" s="7" t="str">
        <f>"460003199704077424"</f>
        <v>460003199704077424</v>
      </c>
      <c r="F1356" s="7" t="str">
        <f t="shared" si="554"/>
        <v>琼台师范学院</v>
      </c>
      <c r="G1356" s="7" t="str">
        <f>"学前教育专业"</f>
        <v>学前教育专业</v>
      </c>
      <c r="H1356" s="7" t="str">
        <f>"专科(高职)"</f>
        <v>专科(高职)</v>
      </c>
      <c r="I1356" s="7" t="str">
        <f t="shared" si="550"/>
        <v>幼儿园教师资格</v>
      </c>
    </row>
    <row r="1357" customHeight="1" spans="1:9">
      <c r="A1357" s="6">
        <v>1355</v>
      </c>
      <c r="B1357" s="7" t="s">
        <v>11</v>
      </c>
      <c r="C1357" s="8" t="str">
        <f>"卓婷婷"</f>
        <v>卓婷婷</v>
      </c>
      <c r="D1357" s="8" t="str">
        <f t="shared" si="552"/>
        <v>女</v>
      </c>
      <c r="E1357" s="7" t="str">
        <f>"460006199701150429"</f>
        <v>460006199701150429</v>
      </c>
      <c r="F1357" s="7" t="str">
        <f t="shared" si="554"/>
        <v>琼台师范学院</v>
      </c>
      <c r="G1357" s="7" t="str">
        <f t="shared" ref="G1357:G1360" si="555">"学前教育"</f>
        <v>学前教育</v>
      </c>
      <c r="H1357" s="7" t="str">
        <f t="shared" ref="H1357:H1362" si="556">"专科"</f>
        <v>专科</v>
      </c>
      <c r="I1357" s="7" t="str">
        <f t="shared" si="550"/>
        <v>幼儿园教师资格</v>
      </c>
    </row>
    <row r="1358" customHeight="1" spans="1:9">
      <c r="A1358" s="6">
        <v>1356</v>
      </c>
      <c r="B1358" s="7" t="s">
        <v>11</v>
      </c>
      <c r="C1358" s="8" t="str">
        <f>"林华巧"</f>
        <v>林华巧</v>
      </c>
      <c r="D1358" s="8" t="str">
        <f t="shared" si="552"/>
        <v>女</v>
      </c>
      <c r="E1358" s="7" t="str">
        <f>"460033199205084863"</f>
        <v>460033199205084863</v>
      </c>
      <c r="F1358" s="7" t="str">
        <f>"琼州学院"</f>
        <v>琼州学院</v>
      </c>
      <c r="G1358" s="7" t="str">
        <f t="shared" si="555"/>
        <v>学前教育</v>
      </c>
      <c r="H1358" s="7" t="str">
        <f t="shared" si="556"/>
        <v>专科</v>
      </c>
      <c r="I1358" s="7" t="str">
        <f t="shared" si="550"/>
        <v>幼儿园教师资格</v>
      </c>
    </row>
    <row r="1359" customHeight="1" spans="1:9">
      <c r="A1359" s="6">
        <v>1357</v>
      </c>
      <c r="B1359" s="7" t="s">
        <v>10</v>
      </c>
      <c r="C1359" s="8" t="str">
        <f>"刘杨霞"</f>
        <v>刘杨霞</v>
      </c>
      <c r="D1359" s="8" t="str">
        <f t="shared" si="552"/>
        <v>女</v>
      </c>
      <c r="E1359" s="7" t="str">
        <f>"511523199509090066"</f>
        <v>511523199509090066</v>
      </c>
      <c r="F1359" s="7" t="str">
        <f>"琼台师范学院"</f>
        <v>琼台师范学院</v>
      </c>
      <c r="G1359" s="7" t="str">
        <f>"学前教育（英语教育方向）"</f>
        <v>学前教育（英语教育方向）</v>
      </c>
      <c r="H1359" s="7" t="str">
        <f t="shared" si="556"/>
        <v>专科</v>
      </c>
      <c r="I1359" s="7" t="str">
        <f t="shared" si="550"/>
        <v>幼儿园教师资格</v>
      </c>
    </row>
    <row r="1360" customHeight="1" spans="1:9">
      <c r="A1360" s="6">
        <v>1358</v>
      </c>
      <c r="B1360" s="7" t="s">
        <v>12</v>
      </c>
      <c r="C1360" s="8" t="str">
        <f>"麦祖妃"</f>
        <v>麦祖妃</v>
      </c>
      <c r="D1360" s="8" t="str">
        <f t="shared" si="552"/>
        <v>女</v>
      </c>
      <c r="E1360" s="7" t="str">
        <f>"460003199205184647"</f>
        <v>460003199205184647</v>
      </c>
      <c r="F1360" s="7" t="str">
        <f t="shared" ref="F1360:F1362" si="557">"海南热带海洋学院"</f>
        <v>海南热带海洋学院</v>
      </c>
      <c r="G1360" s="7" t="str">
        <f t="shared" si="555"/>
        <v>学前教育</v>
      </c>
      <c r="H1360" s="7" t="str">
        <f t="shared" si="556"/>
        <v>专科</v>
      </c>
      <c r="I1360" s="7" t="str">
        <f t="shared" si="550"/>
        <v>幼儿园教师资格</v>
      </c>
    </row>
    <row r="1361" customHeight="1" spans="1:9">
      <c r="A1361" s="6">
        <v>1359</v>
      </c>
      <c r="B1361" s="7" t="s">
        <v>10</v>
      </c>
      <c r="C1361" s="8" t="str">
        <f>"周忆雯"</f>
        <v>周忆雯</v>
      </c>
      <c r="D1361" s="8" t="str">
        <f t="shared" si="552"/>
        <v>女</v>
      </c>
      <c r="E1361" s="7" t="str">
        <f>"460033199706214849"</f>
        <v>460033199706214849</v>
      </c>
      <c r="F1361" s="7" t="str">
        <f t="shared" si="557"/>
        <v>海南热带海洋学院</v>
      </c>
      <c r="G1361" s="7" t="str">
        <f>"学前教育（师范）"</f>
        <v>学前教育（师范）</v>
      </c>
      <c r="H1361" s="7" t="str">
        <f t="shared" si="556"/>
        <v>专科</v>
      </c>
      <c r="I1361" s="7" t="str">
        <f t="shared" si="550"/>
        <v>幼儿园教师资格</v>
      </c>
    </row>
    <row r="1362" customHeight="1" spans="1:9">
      <c r="A1362" s="6">
        <v>1360</v>
      </c>
      <c r="B1362" s="7" t="s">
        <v>10</v>
      </c>
      <c r="C1362" s="8" t="str">
        <f>"黄小云"</f>
        <v>黄小云</v>
      </c>
      <c r="D1362" s="8" t="str">
        <f t="shared" si="552"/>
        <v>女</v>
      </c>
      <c r="E1362" s="7" t="str">
        <f>"460033199312283227"</f>
        <v>460033199312283227</v>
      </c>
      <c r="F1362" s="7" t="str">
        <f t="shared" si="557"/>
        <v>海南热带海洋学院</v>
      </c>
      <c r="G1362" s="7" t="str">
        <f t="shared" ref="G1362:G1365" si="558">"学前教育"</f>
        <v>学前教育</v>
      </c>
      <c r="H1362" s="7" t="str">
        <f t="shared" si="556"/>
        <v>专科</v>
      </c>
      <c r="I1362" s="7" t="str">
        <f t="shared" si="550"/>
        <v>幼儿园教师资格</v>
      </c>
    </row>
    <row r="1363" customHeight="1" spans="1:9">
      <c r="A1363" s="6">
        <v>1361</v>
      </c>
      <c r="B1363" s="7" t="s">
        <v>12</v>
      </c>
      <c r="C1363" s="8" t="str">
        <f>"彭玲"</f>
        <v>彭玲</v>
      </c>
      <c r="D1363" s="8" t="str">
        <f t="shared" si="552"/>
        <v>女</v>
      </c>
      <c r="E1363" s="7" t="str">
        <f>"460003199212225224"</f>
        <v>460003199212225224</v>
      </c>
      <c r="F1363" s="7" t="str">
        <f>"海南师范大学"</f>
        <v>海南师范大学</v>
      </c>
      <c r="G1363" s="7" t="str">
        <f t="shared" si="558"/>
        <v>学前教育</v>
      </c>
      <c r="H1363" s="7" t="str">
        <f>"本科"</f>
        <v>本科</v>
      </c>
      <c r="I1363" s="7" t="str">
        <f t="shared" si="550"/>
        <v>幼儿园教师资格</v>
      </c>
    </row>
    <row r="1364" customHeight="1" spans="1:9">
      <c r="A1364" s="6">
        <v>1362</v>
      </c>
      <c r="B1364" s="7" t="s">
        <v>11</v>
      </c>
      <c r="C1364" s="8" t="str">
        <f>"黄大燕"</f>
        <v>黄大燕</v>
      </c>
      <c r="D1364" s="8" t="str">
        <f t="shared" si="552"/>
        <v>女</v>
      </c>
      <c r="E1364" s="7" t="str">
        <f>"460001199202130720"</f>
        <v>460001199202130720</v>
      </c>
      <c r="F1364" s="7" t="str">
        <f>"海南省海口市琼台师范学院"</f>
        <v>海南省海口市琼台师范学院</v>
      </c>
      <c r="G1364" s="7" t="str">
        <f>"学前教育《英语方向》"</f>
        <v>学前教育《英语方向》</v>
      </c>
      <c r="H1364" s="7" t="str">
        <f t="shared" ref="H1364:H1366" si="559">"专科"</f>
        <v>专科</v>
      </c>
      <c r="I1364" s="7" t="str">
        <f t="shared" si="550"/>
        <v>幼儿园教师资格</v>
      </c>
    </row>
    <row r="1365" customHeight="1" spans="1:9">
      <c r="A1365" s="6">
        <v>1363</v>
      </c>
      <c r="B1365" s="7" t="s">
        <v>10</v>
      </c>
      <c r="C1365" s="8" t="str">
        <f>"林燕南"</f>
        <v>林燕南</v>
      </c>
      <c r="D1365" s="8" t="str">
        <f t="shared" si="552"/>
        <v>女</v>
      </c>
      <c r="E1365" s="7" t="str">
        <f>"460005199510274529"</f>
        <v>460005199510274529</v>
      </c>
      <c r="F1365" s="7" t="str">
        <f t="shared" ref="F1365:F1369" si="560">"琼台师范学院"</f>
        <v>琼台师范学院</v>
      </c>
      <c r="G1365" s="7" t="str">
        <f t="shared" si="558"/>
        <v>学前教育</v>
      </c>
      <c r="H1365" s="7" t="str">
        <f t="shared" si="559"/>
        <v>专科</v>
      </c>
      <c r="I1365" s="7" t="str">
        <f t="shared" si="550"/>
        <v>幼儿园教师资格</v>
      </c>
    </row>
    <row r="1366" customHeight="1" spans="1:9">
      <c r="A1366" s="6">
        <v>1364</v>
      </c>
      <c r="B1366" s="7" t="s">
        <v>10</v>
      </c>
      <c r="C1366" s="8" t="str">
        <f>"李海恩"</f>
        <v>李海恩</v>
      </c>
      <c r="D1366" s="8" t="str">
        <f t="shared" si="552"/>
        <v>女</v>
      </c>
      <c r="E1366" s="7" t="str">
        <f>"440923199509042163"</f>
        <v>440923199509042163</v>
      </c>
      <c r="F1366" s="7" t="str">
        <f t="shared" si="560"/>
        <v>琼台师范学院</v>
      </c>
      <c r="G1366" s="7" t="str">
        <f>"学前教育（英语教育方向）"</f>
        <v>学前教育（英语教育方向）</v>
      </c>
      <c r="H1366" s="7" t="str">
        <f t="shared" si="559"/>
        <v>专科</v>
      </c>
      <c r="I1366" s="7" t="str">
        <f t="shared" si="550"/>
        <v>幼儿园教师资格</v>
      </c>
    </row>
    <row r="1367" customHeight="1" spans="1:9">
      <c r="A1367" s="6">
        <v>1365</v>
      </c>
      <c r="B1367" s="7" t="s">
        <v>10</v>
      </c>
      <c r="C1367" s="8" t="str">
        <f>"曹卓敏"</f>
        <v>曹卓敏</v>
      </c>
      <c r="D1367" s="8" t="str">
        <f t="shared" si="552"/>
        <v>女</v>
      </c>
      <c r="E1367" s="7" t="str">
        <f>"460103199412182121"</f>
        <v>460103199412182121</v>
      </c>
      <c r="F1367" s="7" t="str">
        <f>"湖南省怀化学院"</f>
        <v>湖南省怀化学院</v>
      </c>
      <c r="G1367" s="7" t="str">
        <f t="shared" ref="G1367:G1371" si="561">"学前教育"</f>
        <v>学前教育</v>
      </c>
      <c r="H1367" s="7" t="str">
        <f>"本科"</f>
        <v>本科</v>
      </c>
      <c r="I1367" s="7" t="str">
        <f t="shared" si="550"/>
        <v>幼儿园教师资格</v>
      </c>
    </row>
    <row r="1368" customHeight="1" spans="1:9">
      <c r="A1368" s="6">
        <v>1366</v>
      </c>
      <c r="B1368" s="7" t="s">
        <v>10</v>
      </c>
      <c r="C1368" s="8" t="str">
        <f>"林艳"</f>
        <v>林艳</v>
      </c>
      <c r="D1368" s="8" t="str">
        <f t="shared" si="552"/>
        <v>女</v>
      </c>
      <c r="E1368" s="7" t="str">
        <f>"460006199609072720"</f>
        <v>460006199609072720</v>
      </c>
      <c r="F1368" s="7" t="str">
        <f t="shared" si="560"/>
        <v>琼台师范学院</v>
      </c>
      <c r="G1368" s="7" t="str">
        <f t="shared" si="561"/>
        <v>学前教育</v>
      </c>
      <c r="H1368" s="7" t="str">
        <f t="shared" ref="H1368:H1394" si="562">"专科"</f>
        <v>专科</v>
      </c>
      <c r="I1368" s="7" t="str">
        <f t="shared" si="550"/>
        <v>幼儿园教师资格</v>
      </c>
    </row>
    <row r="1369" customHeight="1" spans="1:9">
      <c r="A1369" s="6">
        <v>1367</v>
      </c>
      <c r="B1369" s="7" t="s">
        <v>10</v>
      </c>
      <c r="C1369" s="8" t="str">
        <f>"许淋婷"</f>
        <v>许淋婷</v>
      </c>
      <c r="D1369" s="8" t="str">
        <f t="shared" si="552"/>
        <v>女</v>
      </c>
      <c r="E1369" s="7" t="str">
        <f>"460028199607011623"</f>
        <v>460028199607011623</v>
      </c>
      <c r="F1369" s="7" t="str">
        <f t="shared" si="560"/>
        <v>琼台师范学院</v>
      </c>
      <c r="G1369" s="7" t="str">
        <f t="shared" si="561"/>
        <v>学前教育</v>
      </c>
      <c r="H1369" s="7" t="str">
        <f t="shared" si="562"/>
        <v>专科</v>
      </c>
      <c r="I1369" s="7" t="str">
        <f t="shared" si="550"/>
        <v>幼儿园教师资格</v>
      </c>
    </row>
    <row r="1370" customHeight="1" spans="1:9">
      <c r="A1370" s="6">
        <v>1368</v>
      </c>
      <c r="B1370" s="7" t="s">
        <v>12</v>
      </c>
      <c r="C1370" s="8" t="str">
        <f>"李涛"</f>
        <v>李涛</v>
      </c>
      <c r="D1370" s="8" t="str">
        <f t="shared" si="552"/>
        <v>女</v>
      </c>
      <c r="E1370" s="7" t="str">
        <f>"460007199306185003"</f>
        <v>460007199306185003</v>
      </c>
      <c r="F1370" s="7" t="str">
        <f>"琼州学院"</f>
        <v>琼州学院</v>
      </c>
      <c r="G1370" s="7" t="str">
        <f t="shared" si="561"/>
        <v>学前教育</v>
      </c>
      <c r="H1370" s="7" t="str">
        <f t="shared" si="562"/>
        <v>专科</v>
      </c>
      <c r="I1370" s="7" t="str">
        <f t="shared" si="550"/>
        <v>幼儿园教师资格</v>
      </c>
    </row>
    <row r="1371" customHeight="1" spans="1:9">
      <c r="A1371" s="6">
        <v>1369</v>
      </c>
      <c r="B1371" s="7" t="s">
        <v>11</v>
      </c>
      <c r="C1371" s="8" t="str">
        <f>"方裕"</f>
        <v>方裕</v>
      </c>
      <c r="D1371" s="8" t="str">
        <f t="shared" si="552"/>
        <v>女</v>
      </c>
      <c r="E1371" s="7" t="str">
        <f>"460028199508260448"</f>
        <v>460028199508260448</v>
      </c>
      <c r="F1371" s="7" t="str">
        <f t="shared" ref="F1371:F1373" si="563">"琼台师范学院"</f>
        <v>琼台师范学院</v>
      </c>
      <c r="G1371" s="7" t="str">
        <f t="shared" si="561"/>
        <v>学前教育</v>
      </c>
      <c r="H1371" s="7" t="str">
        <f t="shared" si="562"/>
        <v>专科</v>
      </c>
      <c r="I1371" s="7" t="str">
        <f t="shared" si="550"/>
        <v>幼儿园教师资格</v>
      </c>
    </row>
    <row r="1372" customHeight="1" spans="1:9">
      <c r="A1372" s="6">
        <v>1370</v>
      </c>
      <c r="B1372" s="7" t="s">
        <v>10</v>
      </c>
      <c r="C1372" s="8" t="str">
        <f>"刘燕苗"</f>
        <v>刘燕苗</v>
      </c>
      <c r="D1372" s="8" t="str">
        <f t="shared" si="552"/>
        <v>女</v>
      </c>
      <c r="E1372" s="7" t="str">
        <f>"460027199501232923"</f>
        <v>460027199501232923</v>
      </c>
      <c r="F1372" s="7" t="str">
        <f t="shared" si="563"/>
        <v>琼台师范学院</v>
      </c>
      <c r="G1372" s="7" t="str">
        <f>"学前教育（英语教育方向）"</f>
        <v>学前教育（英语教育方向）</v>
      </c>
      <c r="H1372" s="7" t="str">
        <f t="shared" si="562"/>
        <v>专科</v>
      </c>
      <c r="I1372" s="7" t="str">
        <f t="shared" si="550"/>
        <v>幼儿园教师资格</v>
      </c>
    </row>
    <row r="1373" customHeight="1" spans="1:9">
      <c r="A1373" s="6">
        <v>1371</v>
      </c>
      <c r="B1373" s="7" t="s">
        <v>10</v>
      </c>
      <c r="C1373" s="8" t="str">
        <f>"甘青珍"</f>
        <v>甘青珍</v>
      </c>
      <c r="D1373" s="8" t="str">
        <f t="shared" si="552"/>
        <v>女</v>
      </c>
      <c r="E1373" s="7" t="str">
        <f>"460030199602250627"</f>
        <v>460030199602250627</v>
      </c>
      <c r="F1373" s="7" t="str">
        <f t="shared" si="563"/>
        <v>琼台师范学院</v>
      </c>
      <c r="G1373" s="7" t="str">
        <f>"学前教育（英语教育方向）"</f>
        <v>学前教育（英语教育方向）</v>
      </c>
      <c r="H1373" s="7" t="str">
        <f t="shared" si="562"/>
        <v>专科</v>
      </c>
      <c r="I1373" s="7" t="str">
        <f t="shared" si="550"/>
        <v>幼儿园教师资格</v>
      </c>
    </row>
    <row r="1374" customHeight="1" spans="1:9">
      <c r="A1374" s="6">
        <v>1372</v>
      </c>
      <c r="B1374" s="7" t="s">
        <v>12</v>
      </c>
      <c r="C1374" s="8" t="str">
        <f>"李斌"</f>
        <v>李斌</v>
      </c>
      <c r="D1374" s="8" t="str">
        <f t="shared" si="552"/>
        <v>女</v>
      </c>
      <c r="E1374" s="7" t="str">
        <f>"460027198908280623"</f>
        <v>460027198908280623</v>
      </c>
      <c r="F1374" s="7" t="str">
        <f>"琼台师范"</f>
        <v>琼台师范</v>
      </c>
      <c r="G1374" s="7" t="str">
        <f t="shared" ref="G1374:G1385" si="564">"学前教育"</f>
        <v>学前教育</v>
      </c>
      <c r="H1374" s="7" t="str">
        <f t="shared" si="562"/>
        <v>专科</v>
      </c>
      <c r="I1374" s="7" t="str">
        <f t="shared" si="550"/>
        <v>幼儿园教师资格</v>
      </c>
    </row>
    <row r="1375" customHeight="1" spans="1:9">
      <c r="A1375" s="6">
        <v>1373</v>
      </c>
      <c r="B1375" s="7" t="s">
        <v>11</v>
      </c>
      <c r="C1375" s="8" t="str">
        <f>"陈正莹"</f>
        <v>陈正莹</v>
      </c>
      <c r="D1375" s="8" t="str">
        <f t="shared" si="552"/>
        <v>女</v>
      </c>
      <c r="E1375" s="7" t="str">
        <f>"460027199603080027"</f>
        <v>460027199603080027</v>
      </c>
      <c r="F1375" s="7" t="str">
        <f t="shared" ref="F1375:F1379" si="565">"琼台师范学院"</f>
        <v>琼台师范学院</v>
      </c>
      <c r="G1375" s="7" t="str">
        <f t="shared" si="564"/>
        <v>学前教育</v>
      </c>
      <c r="H1375" s="7" t="str">
        <f t="shared" si="562"/>
        <v>专科</v>
      </c>
      <c r="I1375" s="7" t="str">
        <f t="shared" si="550"/>
        <v>幼儿园教师资格</v>
      </c>
    </row>
    <row r="1376" customHeight="1" spans="1:9">
      <c r="A1376" s="6">
        <v>1374</v>
      </c>
      <c r="B1376" s="7" t="s">
        <v>12</v>
      </c>
      <c r="C1376" s="8" t="str">
        <f>"陈艳莹"</f>
        <v>陈艳莹</v>
      </c>
      <c r="D1376" s="8" t="str">
        <f t="shared" si="552"/>
        <v>女</v>
      </c>
      <c r="E1376" s="7" t="str">
        <f>"460028199606306825"</f>
        <v>460028199606306825</v>
      </c>
      <c r="F1376" s="7" t="str">
        <f t="shared" si="565"/>
        <v>琼台师范学院</v>
      </c>
      <c r="G1376" s="7" t="str">
        <f t="shared" si="564"/>
        <v>学前教育</v>
      </c>
      <c r="H1376" s="7" t="str">
        <f t="shared" si="562"/>
        <v>专科</v>
      </c>
      <c r="I1376" s="7" t="str">
        <f t="shared" si="550"/>
        <v>幼儿园教师资格</v>
      </c>
    </row>
    <row r="1377" customHeight="1" spans="1:9">
      <c r="A1377" s="6">
        <v>1375</v>
      </c>
      <c r="B1377" s="7" t="s">
        <v>11</v>
      </c>
      <c r="C1377" s="8" t="str">
        <f>"林小花"</f>
        <v>林小花</v>
      </c>
      <c r="D1377" s="8" t="str">
        <f t="shared" si="552"/>
        <v>女</v>
      </c>
      <c r="E1377" s="7" t="str">
        <f>"460028199108044420"</f>
        <v>460028199108044420</v>
      </c>
      <c r="F1377" s="7" t="str">
        <f>"琼台师范高等专科学校"</f>
        <v>琼台师范高等专科学校</v>
      </c>
      <c r="G1377" s="7" t="str">
        <f t="shared" si="564"/>
        <v>学前教育</v>
      </c>
      <c r="H1377" s="7" t="str">
        <f t="shared" si="562"/>
        <v>专科</v>
      </c>
      <c r="I1377" s="7" t="str">
        <f t="shared" si="550"/>
        <v>幼儿园教师资格</v>
      </c>
    </row>
    <row r="1378" customHeight="1" spans="1:9">
      <c r="A1378" s="6">
        <v>1376</v>
      </c>
      <c r="B1378" s="7" t="s">
        <v>11</v>
      </c>
      <c r="C1378" s="8" t="str">
        <f>"蔡洁鸿"</f>
        <v>蔡洁鸿</v>
      </c>
      <c r="D1378" s="8" t="str">
        <f t="shared" si="552"/>
        <v>女</v>
      </c>
      <c r="E1378" s="7" t="str">
        <f>"460003199008220047"</f>
        <v>460003199008220047</v>
      </c>
      <c r="F1378" s="7" t="str">
        <f>"琼台师范高等专科学校"</f>
        <v>琼台师范高等专科学校</v>
      </c>
      <c r="G1378" s="7" t="str">
        <f t="shared" si="564"/>
        <v>学前教育</v>
      </c>
      <c r="H1378" s="7" t="str">
        <f t="shared" si="562"/>
        <v>专科</v>
      </c>
      <c r="I1378" s="7" t="str">
        <f t="shared" si="550"/>
        <v>幼儿园教师资格</v>
      </c>
    </row>
    <row r="1379" customHeight="1" spans="1:9">
      <c r="A1379" s="6">
        <v>1377</v>
      </c>
      <c r="B1379" s="7" t="s">
        <v>10</v>
      </c>
      <c r="C1379" s="8" t="str">
        <f>"杨秀文"</f>
        <v>杨秀文</v>
      </c>
      <c r="D1379" s="8" t="str">
        <f t="shared" si="552"/>
        <v>女</v>
      </c>
      <c r="E1379" s="7" t="str">
        <f>"460005199707255129"</f>
        <v>460005199707255129</v>
      </c>
      <c r="F1379" s="7" t="str">
        <f t="shared" si="565"/>
        <v>琼台师范学院</v>
      </c>
      <c r="G1379" s="7" t="str">
        <f t="shared" si="564"/>
        <v>学前教育</v>
      </c>
      <c r="H1379" s="7" t="str">
        <f t="shared" si="562"/>
        <v>专科</v>
      </c>
      <c r="I1379" s="7" t="str">
        <f t="shared" si="550"/>
        <v>幼儿园教师资格</v>
      </c>
    </row>
    <row r="1380" customHeight="1" spans="1:9">
      <c r="A1380" s="6">
        <v>1378</v>
      </c>
      <c r="B1380" s="7" t="s">
        <v>10</v>
      </c>
      <c r="C1380" s="8" t="str">
        <f>"陈雪萍"</f>
        <v>陈雪萍</v>
      </c>
      <c r="D1380" s="8" t="str">
        <f t="shared" si="552"/>
        <v>女</v>
      </c>
      <c r="E1380" s="7" t="str">
        <f>"460034199107250422"</f>
        <v>460034199107250422</v>
      </c>
      <c r="F1380" s="7" t="str">
        <f>"湖南师范大学"</f>
        <v>湖南师范大学</v>
      </c>
      <c r="G1380" s="7" t="str">
        <f t="shared" si="564"/>
        <v>学前教育</v>
      </c>
      <c r="H1380" s="7" t="str">
        <f t="shared" si="562"/>
        <v>专科</v>
      </c>
      <c r="I1380" s="7" t="str">
        <f t="shared" si="550"/>
        <v>幼儿园教师资格</v>
      </c>
    </row>
    <row r="1381" customHeight="1" spans="1:9">
      <c r="A1381" s="6">
        <v>1379</v>
      </c>
      <c r="B1381" s="7" t="s">
        <v>11</v>
      </c>
      <c r="C1381" s="8" t="str">
        <f>"王瑜"</f>
        <v>王瑜</v>
      </c>
      <c r="D1381" s="8" t="str">
        <f t="shared" si="552"/>
        <v>女</v>
      </c>
      <c r="E1381" s="7" t="str">
        <f>"460033199711280023"</f>
        <v>460033199711280023</v>
      </c>
      <c r="F1381" s="7" t="str">
        <f>"鹤岗师范高等专科学校"</f>
        <v>鹤岗师范高等专科学校</v>
      </c>
      <c r="G1381" s="7" t="str">
        <f t="shared" si="564"/>
        <v>学前教育</v>
      </c>
      <c r="H1381" s="7" t="str">
        <f t="shared" si="562"/>
        <v>专科</v>
      </c>
      <c r="I1381" s="7" t="str">
        <f t="shared" si="550"/>
        <v>幼儿园教师资格</v>
      </c>
    </row>
    <row r="1382" customHeight="1" spans="1:9">
      <c r="A1382" s="6">
        <v>1380</v>
      </c>
      <c r="B1382" s="7" t="s">
        <v>10</v>
      </c>
      <c r="C1382" s="8" t="str">
        <f>"李君"</f>
        <v>李君</v>
      </c>
      <c r="D1382" s="8" t="str">
        <f t="shared" si="552"/>
        <v>女</v>
      </c>
      <c r="E1382" s="7" t="str">
        <f>"460003199711214423"</f>
        <v>460003199711214423</v>
      </c>
      <c r="F1382" s="7" t="str">
        <f t="shared" ref="F1382:F1384" si="566">"琼台师范学院"</f>
        <v>琼台师范学院</v>
      </c>
      <c r="G1382" s="7" t="str">
        <f t="shared" si="564"/>
        <v>学前教育</v>
      </c>
      <c r="H1382" s="7" t="str">
        <f t="shared" si="562"/>
        <v>专科</v>
      </c>
      <c r="I1382" s="7" t="str">
        <f t="shared" si="550"/>
        <v>幼儿园教师资格</v>
      </c>
    </row>
    <row r="1383" customHeight="1" spans="1:9">
      <c r="A1383" s="6">
        <v>1381</v>
      </c>
      <c r="B1383" s="7" t="s">
        <v>10</v>
      </c>
      <c r="C1383" s="8" t="str">
        <f>"唐春慰"</f>
        <v>唐春慰</v>
      </c>
      <c r="D1383" s="8" t="str">
        <f t="shared" si="552"/>
        <v>女</v>
      </c>
      <c r="E1383" s="7" t="str">
        <f>"46000319960905542X"</f>
        <v>46000319960905542X</v>
      </c>
      <c r="F1383" s="7" t="str">
        <f t="shared" si="566"/>
        <v>琼台师范学院</v>
      </c>
      <c r="G1383" s="7" t="str">
        <f t="shared" si="564"/>
        <v>学前教育</v>
      </c>
      <c r="H1383" s="7" t="str">
        <f t="shared" si="562"/>
        <v>专科</v>
      </c>
      <c r="I1383" s="7" t="str">
        <f t="shared" si="550"/>
        <v>幼儿园教师资格</v>
      </c>
    </row>
    <row r="1384" customHeight="1" spans="1:9">
      <c r="A1384" s="6">
        <v>1382</v>
      </c>
      <c r="B1384" s="7" t="s">
        <v>11</v>
      </c>
      <c r="C1384" s="8" t="str">
        <f>"李丽佳"</f>
        <v>李丽佳</v>
      </c>
      <c r="D1384" s="8" t="str">
        <f t="shared" si="552"/>
        <v>女</v>
      </c>
      <c r="E1384" s="7" t="str">
        <f>"469003199605060625"</f>
        <v>469003199605060625</v>
      </c>
      <c r="F1384" s="7" t="str">
        <f t="shared" si="566"/>
        <v>琼台师范学院</v>
      </c>
      <c r="G1384" s="7" t="str">
        <f t="shared" si="564"/>
        <v>学前教育</v>
      </c>
      <c r="H1384" s="7" t="str">
        <f t="shared" si="562"/>
        <v>专科</v>
      </c>
      <c r="I1384" s="7" t="str">
        <f t="shared" si="550"/>
        <v>幼儿园教师资格</v>
      </c>
    </row>
    <row r="1385" customHeight="1" spans="1:9">
      <c r="A1385" s="6">
        <v>1383</v>
      </c>
      <c r="B1385" s="7" t="s">
        <v>12</v>
      </c>
      <c r="C1385" s="8" t="str">
        <f>"陈美妹"</f>
        <v>陈美妹</v>
      </c>
      <c r="D1385" s="8" t="str">
        <f t="shared" si="552"/>
        <v>女</v>
      </c>
      <c r="E1385" s="7" t="str">
        <f>"460003199512033320"</f>
        <v>460003199512033320</v>
      </c>
      <c r="F1385" s="7" t="str">
        <f>"海南热带海洋学院"</f>
        <v>海南热带海洋学院</v>
      </c>
      <c r="G1385" s="7" t="str">
        <f t="shared" si="564"/>
        <v>学前教育</v>
      </c>
      <c r="H1385" s="7" t="str">
        <f t="shared" si="562"/>
        <v>专科</v>
      </c>
      <c r="I1385" s="7" t="str">
        <f t="shared" si="550"/>
        <v>幼儿园教师资格</v>
      </c>
    </row>
    <row r="1386" customHeight="1" spans="1:9">
      <c r="A1386" s="6">
        <v>1384</v>
      </c>
      <c r="B1386" s="7" t="s">
        <v>10</v>
      </c>
      <c r="C1386" s="8" t="str">
        <f>"梁瑞丽"</f>
        <v>梁瑞丽</v>
      </c>
      <c r="D1386" s="8" t="str">
        <f t="shared" si="552"/>
        <v>女</v>
      </c>
      <c r="E1386" s="7" t="str">
        <f>"460004199011123826"</f>
        <v>460004199011123826</v>
      </c>
      <c r="F1386" s="7" t="str">
        <f>"琼台师范高等专科学校"</f>
        <v>琼台师范高等专科学校</v>
      </c>
      <c r="G1386" s="7" t="str">
        <f>"学前教育（英语方向）"</f>
        <v>学前教育（英语方向）</v>
      </c>
      <c r="H1386" s="7" t="str">
        <f t="shared" si="562"/>
        <v>专科</v>
      </c>
      <c r="I1386" s="7" t="str">
        <f t="shared" si="550"/>
        <v>幼儿园教师资格</v>
      </c>
    </row>
    <row r="1387" customHeight="1" spans="1:9">
      <c r="A1387" s="6">
        <v>1385</v>
      </c>
      <c r="B1387" s="7" t="s">
        <v>10</v>
      </c>
      <c r="C1387" s="8" t="str">
        <f>"王小妹"</f>
        <v>王小妹</v>
      </c>
      <c r="D1387" s="8" t="str">
        <f t="shared" si="552"/>
        <v>女</v>
      </c>
      <c r="E1387" s="7" t="str">
        <f>"460028199104101221"</f>
        <v>460028199104101221</v>
      </c>
      <c r="F1387" s="7" t="str">
        <f>"琼州学院"</f>
        <v>琼州学院</v>
      </c>
      <c r="G1387" s="7" t="str">
        <f t="shared" ref="G1387:G1394" si="567">"学前教育"</f>
        <v>学前教育</v>
      </c>
      <c r="H1387" s="7" t="str">
        <f t="shared" si="562"/>
        <v>专科</v>
      </c>
      <c r="I1387" s="7" t="str">
        <f t="shared" si="550"/>
        <v>幼儿园教师资格</v>
      </c>
    </row>
    <row r="1388" customHeight="1" spans="1:9">
      <c r="A1388" s="6">
        <v>1386</v>
      </c>
      <c r="B1388" s="7" t="s">
        <v>10</v>
      </c>
      <c r="C1388" s="8" t="str">
        <f>"陈登娜"</f>
        <v>陈登娜</v>
      </c>
      <c r="D1388" s="8" t="str">
        <f t="shared" si="552"/>
        <v>女</v>
      </c>
      <c r="E1388" s="7" t="str">
        <f>"460007199608017646"</f>
        <v>460007199608017646</v>
      </c>
      <c r="F1388" s="7" t="str">
        <f t="shared" ref="F1388:F1393" si="568">"琼台师范学院"</f>
        <v>琼台师范学院</v>
      </c>
      <c r="G1388" s="7" t="str">
        <f>"学前教育（英语教育方向）"</f>
        <v>学前教育（英语教育方向）</v>
      </c>
      <c r="H1388" s="7" t="str">
        <f t="shared" si="562"/>
        <v>专科</v>
      </c>
      <c r="I1388" s="7" t="str">
        <f t="shared" si="550"/>
        <v>幼儿园教师资格</v>
      </c>
    </row>
    <row r="1389" customHeight="1" spans="1:9">
      <c r="A1389" s="6">
        <v>1387</v>
      </c>
      <c r="B1389" s="7" t="s">
        <v>12</v>
      </c>
      <c r="C1389" s="8" t="str">
        <f>"黎琼月"</f>
        <v>黎琼月</v>
      </c>
      <c r="D1389" s="8" t="str">
        <f t="shared" si="552"/>
        <v>女</v>
      </c>
      <c r="E1389" s="7" t="str">
        <f>"460003199301043828"</f>
        <v>460003199301043828</v>
      </c>
      <c r="F1389" s="7" t="str">
        <f>"海南热带海洋学院"</f>
        <v>海南热带海洋学院</v>
      </c>
      <c r="G1389" s="7" t="str">
        <f t="shared" si="567"/>
        <v>学前教育</v>
      </c>
      <c r="H1389" s="7" t="str">
        <f t="shared" si="562"/>
        <v>专科</v>
      </c>
      <c r="I1389" s="7" t="str">
        <f t="shared" si="550"/>
        <v>幼儿园教师资格</v>
      </c>
    </row>
    <row r="1390" customHeight="1" spans="1:9">
      <c r="A1390" s="6">
        <v>1388</v>
      </c>
      <c r="B1390" s="7" t="s">
        <v>11</v>
      </c>
      <c r="C1390" s="8" t="str">
        <f>"孙耀煌"</f>
        <v>孙耀煌</v>
      </c>
      <c r="D1390" s="8" t="str">
        <f>"男"</f>
        <v>男</v>
      </c>
      <c r="E1390" s="7" t="str">
        <f>"460003199707046818"</f>
        <v>460003199707046818</v>
      </c>
      <c r="F1390" s="7" t="str">
        <f t="shared" si="568"/>
        <v>琼台师范学院</v>
      </c>
      <c r="G1390" s="7" t="str">
        <f t="shared" si="567"/>
        <v>学前教育</v>
      </c>
      <c r="H1390" s="7" t="str">
        <f t="shared" si="562"/>
        <v>专科</v>
      </c>
      <c r="I1390" s="7" t="str">
        <f t="shared" si="550"/>
        <v>幼儿园教师资格</v>
      </c>
    </row>
    <row r="1391" customHeight="1" spans="1:9">
      <c r="A1391" s="6">
        <v>1389</v>
      </c>
      <c r="B1391" s="7" t="s">
        <v>10</v>
      </c>
      <c r="C1391" s="8" t="str">
        <f>"巩嘉敏"</f>
        <v>巩嘉敏</v>
      </c>
      <c r="D1391" s="8" t="str">
        <f t="shared" ref="D1391:D1406" si="569">"女"</f>
        <v>女</v>
      </c>
      <c r="E1391" s="7" t="str">
        <f>"142229199702080023"</f>
        <v>142229199702080023</v>
      </c>
      <c r="F1391" s="7" t="str">
        <f t="shared" si="568"/>
        <v>琼台师范学院</v>
      </c>
      <c r="G1391" s="7" t="str">
        <f t="shared" si="567"/>
        <v>学前教育</v>
      </c>
      <c r="H1391" s="7" t="str">
        <f t="shared" si="562"/>
        <v>专科</v>
      </c>
      <c r="I1391" s="7" t="str">
        <f t="shared" si="550"/>
        <v>幼儿园教师资格</v>
      </c>
    </row>
    <row r="1392" customHeight="1" spans="1:9">
      <c r="A1392" s="6">
        <v>1390</v>
      </c>
      <c r="B1392" s="7" t="s">
        <v>10</v>
      </c>
      <c r="C1392" s="8" t="str">
        <f>"雷慧珍"</f>
        <v>雷慧珍</v>
      </c>
      <c r="D1392" s="8" t="str">
        <f t="shared" si="569"/>
        <v>女</v>
      </c>
      <c r="E1392" s="7" t="str">
        <f>"460006199809207247"</f>
        <v>460006199809207247</v>
      </c>
      <c r="F1392" s="7" t="str">
        <f t="shared" si="568"/>
        <v>琼台师范学院</v>
      </c>
      <c r="G1392" s="7" t="str">
        <f t="shared" si="567"/>
        <v>学前教育</v>
      </c>
      <c r="H1392" s="7" t="str">
        <f t="shared" si="562"/>
        <v>专科</v>
      </c>
      <c r="I1392" s="7" t="str">
        <f t="shared" si="550"/>
        <v>幼儿园教师资格</v>
      </c>
    </row>
    <row r="1393" customHeight="1" spans="1:9">
      <c r="A1393" s="6">
        <v>1391</v>
      </c>
      <c r="B1393" s="7" t="s">
        <v>10</v>
      </c>
      <c r="C1393" s="8" t="str">
        <f>"陈怡君"</f>
        <v>陈怡君</v>
      </c>
      <c r="D1393" s="8" t="str">
        <f t="shared" si="569"/>
        <v>女</v>
      </c>
      <c r="E1393" s="7" t="str">
        <f>"460028199504280169"</f>
        <v>460028199504280169</v>
      </c>
      <c r="F1393" s="7" t="str">
        <f t="shared" si="568"/>
        <v>琼台师范学院</v>
      </c>
      <c r="G1393" s="7" t="str">
        <f t="shared" si="567"/>
        <v>学前教育</v>
      </c>
      <c r="H1393" s="7" t="str">
        <f t="shared" si="562"/>
        <v>专科</v>
      </c>
      <c r="I1393" s="7" t="str">
        <f t="shared" si="550"/>
        <v>幼儿园教师资格</v>
      </c>
    </row>
    <row r="1394" customHeight="1" spans="1:9">
      <c r="A1394" s="6">
        <v>1392</v>
      </c>
      <c r="B1394" s="7" t="s">
        <v>10</v>
      </c>
      <c r="C1394" s="8" t="str">
        <f>"符玉连"</f>
        <v>符玉连</v>
      </c>
      <c r="D1394" s="8" t="str">
        <f t="shared" si="569"/>
        <v>女</v>
      </c>
      <c r="E1394" s="7" t="str">
        <f>"460003199112306705"</f>
        <v>460003199112306705</v>
      </c>
      <c r="F1394" s="7" t="str">
        <f t="shared" ref="F1394:F1396" si="570">"海南热带海洋学院"</f>
        <v>海南热带海洋学院</v>
      </c>
      <c r="G1394" s="7" t="str">
        <f t="shared" si="567"/>
        <v>学前教育</v>
      </c>
      <c r="H1394" s="7" t="str">
        <f t="shared" si="562"/>
        <v>专科</v>
      </c>
      <c r="I1394" s="7" t="str">
        <f t="shared" si="550"/>
        <v>幼儿园教师资格</v>
      </c>
    </row>
    <row r="1395" customHeight="1" spans="1:9">
      <c r="A1395" s="6">
        <v>1393</v>
      </c>
      <c r="B1395" s="7" t="s">
        <v>12</v>
      </c>
      <c r="C1395" s="8" t="str">
        <f>"梁惠梅"</f>
        <v>梁惠梅</v>
      </c>
      <c r="D1395" s="8" t="str">
        <f t="shared" si="569"/>
        <v>女</v>
      </c>
      <c r="E1395" s="7" t="str">
        <f>"460103199204253626"</f>
        <v>460103199204253626</v>
      </c>
      <c r="F1395" s="7" t="str">
        <f t="shared" si="570"/>
        <v>海南热带海洋学院</v>
      </c>
      <c r="G1395" s="7" t="str">
        <f>"学前教育专业"</f>
        <v>学前教育专业</v>
      </c>
      <c r="H1395" s="7" t="str">
        <f t="shared" ref="H1395:H1400" si="571">"本科"</f>
        <v>本科</v>
      </c>
      <c r="I1395" s="7" t="str">
        <f t="shared" si="550"/>
        <v>幼儿园教师资格</v>
      </c>
    </row>
    <row r="1396" customHeight="1" spans="1:9">
      <c r="A1396" s="6">
        <v>1394</v>
      </c>
      <c r="B1396" s="7" t="s">
        <v>11</v>
      </c>
      <c r="C1396" s="8" t="str">
        <f>"符夏"</f>
        <v>符夏</v>
      </c>
      <c r="D1396" s="8" t="str">
        <f t="shared" si="569"/>
        <v>女</v>
      </c>
      <c r="E1396" s="7" t="str">
        <f>"460003199705024826"</f>
        <v>460003199705024826</v>
      </c>
      <c r="F1396" s="7" t="str">
        <f t="shared" si="570"/>
        <v>海南热带海洋学院</v>
      </c>
      <c r="G1396" s="7" t="str">
        <f t="shared" ref="G1396:G1399" si="572">"学前教育"</f>
        <v>学前教育</v>
      </c>
      <c r="H1396" s="7" t="str">
        <f t="shared" ref="H1396:H1399" si="573">"专科"</f>
        <v>专科</v>
      </c>
      <c r="I1396" s="7" t="str">
        <f t="shared" si="550"/>
        <v>幼儿园教师资格</v>
      </c>
    </row>
    <row r="1397" customHeight="1" spans="1:9">
      <c r="A1397" s="6">
        <v>1395</v>
      </c>
      <c r="B1397" s="7" t="s">
        <v>10</v>
      </c>
      <c r="C1397" s="8" t="str">
        <f>"唐慧婷"</f>
        <v>唐慧婷</v>
      </c>
      <c r="D1397" s="8" t="str">
        <f t="shared" si="569"/>
        <v>女</v>
      </c>
      <c r="E1397" s="7" t="str">
        <f>"460026199112060025"</f>
        <v>460026199112060025</v>
      </c>
      <c r="F1397" s="7" t="str">
        <f>"海南师范大学"</f>
        <v>海南师范大学</v>
      </c>
      <c r="G1397" s="7" t="str">
        <f t="shared" si="572"/>
        <v>学前教育</v>
      </c>
      <c r="H1397" s="7" t="str">
        <f t="shared" si="571"/>
        <v>本科</v>
      </c>
      <c r="I1397" s="7" t="str">
        <f t="shared" si="550"/>
        <v>幼儿园教师资格</v>
      </c>
    </row>
    <row r="1398" customHeight="1" spans="1:9">
      <c r="A1398" s="6">
        <v>1396</v>
      </c>
      <c r="B1398" s="7" t="s">
        <v>11</v>
      </c>
      <c r="C1398" s="8" t="str">
        <f>"陈小云"</f>
        <v>陈小云</v>
      </c>
      <c r="D1398" s="8" t="str">
        <f t="shared" si="569"/>
        <v>女</v>
      </c>
      <c r="E1398" s="7" t="str">
        <f>"469022199805061525"</f>
        <v>469022199805061525</v>
      </c>
      <c r="F1398" s="7" t="str">
        <f>"海南省琼台师范学院"</f>
        <v>海南省琼台师范学院</v>
      </c>
      <c r="G1398" s="7" t="str">
        <f t="shared" si="572"/>
        <v>学前教育</v>
      </c>
      <c r="H1398" s="7" t="str">
        <f t="shared" si="573"/>
        <v>专科</v>
      </c>
      <c r="I1398" s="7" t="str">
        <f t="shared" si="550"/>
        <v>幼儿园教师资格</v>
      </c>
    </row>
    <row r="1399" customHeight="1" spans="1:9">
      <c r="A1399" s="6">
        <v>1397</v>
      </c>
      <c r="B1399" s="7" t="s">
        <v>12</v>
      </c>
      <c r="C1399" s="8" t="str">
        <f>"张夏梅"</f>
        <v>张夏梅</v>
      </c>
      <c r="D1399" s="8" t="str">
        <f t="shared" si="569"/>
        <v>女</v>
      </c>
      <c r="E1399" s="7" t="str">
        <f>"46000719941203724X"</f>
        <v>46000719941203724X</v>
      </c>
      <c r="F1399" s="7" t="str">
        <f>"海口市琼台师范学院"</f>
        <v>海口市琼台师范学院</v>
      </c>
      <c r="G1399" s="7" t="str">
        <f t="shared" si="572"/>
        <v>学前教育</v>
      </c>
      <c r="H1399" s="7" t="str">
        <f t="shared" si="573"/>
        <v>专科</v>
      </c>
      <c r="I1399" s="7" t="str">
        <f t="shared" si="550"/>
        <v>幼儿园教师资格</v>
      </c>
    </row>
    <row r="1400" customHeight="1" spans="1:9">
      <c r="A1400" s="6">
        <v>1398</v>
      </c>
      <c r="B1400" s="7" t="s">
        <v>10</v>
      </c>
      <c r="C1400" s="8" t="str">
        <f>"林霖"</f>
        <v>林霖</v>
      </c>
      <c r="D1400" s="8" t="str">
        <f t="shared" si="569"/>
        <v>女</v>
      </c>
      <c r="E1400" s="7" t="str">
        <f>"460006199704238143"</f>
        <v>460006199704238143</v>
      </c>
      <c r="F1400" s="7" t="str">
        <f>"海南热带海洋学院"</f>
        <v>海南热带海洋学院</v>
      </c>
      <c r="G1400" s="7" t="str">
        <f>"学前教育（师范）"</f>
        <v>学前教育（师范）</v>
      </c>
      <c r="H1400" s="7" t="str">
        <f t="shared" si="571"/>
        <v>本科</v>
      </c>
      <c r="I1400" s="7" t="str">
        <f t="shared" si="550"/>
        <v>幼儿园教师资格</v>
      </c>
    </row>
    <row r="1401" customHeight="1" spans="1:9">
      <c r="A1401" s="6">
        <v>1399</v>
      </c>
      <c r="B1401" s="7" t="s">
        <v>10</v>
      </c>
      <c r="C1401" s="8" t="str">
        <f>"王晓虹"</f>
        <v>王晓虹</v>
      </c>
      <c r="D1401" s="8" t="str">
        <f t="shared" si="569"/>
        <v>女</v>
      </c>
      <c r="E1401" s="7" t="str">
        <f>"460002199103280041"</f>
        <v>460002199103280041</v>
      </c>
      <c r="F1401" s="7" t="str">
        <f>"海南省海口市琼台师范高等专科学校"</f>
        <v>海南省海口市琼台师范高等专科学校</v>
      </c>
      <c r="G1401" s="7" t="str">
        <f t="shared" ref="G1401:G1406" si="574">"学前教育"</f>
        <v>学前教育</v>
      </c>
      <c r="H1401" s="7" t="str">
        <f t="shared" ref="H1401:H1406" si="575">"专科"</f>
        <v>专科</v>
      </c>
      <c r="I1401" s="7" t="str">
        <f t="shared" si="550"/>
        <v>幼儿园教师资格</v>
      </c>
    </row>
    <row r="1402" customHeight="1" spans="1:9">
      <c r="A1402" s="6">
        <v>1400</v>
      </c>
      <c r="B1402" s="7" t="s">
        <v>12</v>
      </c>
      <c r="C1402" s="8" t="str">
        <f>"陈小玥"</f>
        <v>陈小玥</v>
      </c>
      <c r="D1402" s="8" t="str">
        <f t="shared" si="569"/>
        <v>女</v>
      </c>
      <c r="E1402" s="7" t="str">
        <f>"460027199009228228"</f>
        <v>460027199009228228</v>
      </c>
      <c r="F1402" s="7" t="str">
        <f>"河北省衡水学院"</f>
        <v>河北省衡水学院</v>
      </c>
      <c r="G1402" s="7" t="str">
        <f>"学前教育专业"</f>
        <v>学前教育专业</v>
      </c>
      <c r="H1402" s="7" t="str">
        <f>"专科(高职)"</f>
        <v>专科(高职)</v>
      </c>
      <c r="I1402" s="7" t="str">
        <f t="shared" si="550"/>
        <v>幼儿园教师资格</v>
      </c>
    </row>
    <row r="1403" customHeight="1" spans="1:9">
      <c r="A1403" s="6">
        <v>1401</v>
      </c>
      <c r="B1403" s="7" t="s">
        <v>10</v>
      </c>
      <c r="C1403" s="8" t="str">
        <f>"林浇"</f>
        <v>林浇</v>
      </c>
      <c r="D1403" s="8" t="str">
        <f t="shared" si="569"/>
        <v>女</v>
      </c>
      <c r="E1403" s="7" t="str">
        <f>"460033199706205088"</f>
        <v>460033199706205088</v>
      </c>
      <c r="F1403" s="7" t="str">
        <f>"琼台师范学院"</f>
        <v>琼台师范学院</v>
      </c>
      <c r="G1403" s="7" t="str">
        <f t="shared" si="574"/>
        <v>学前教育</v>
      </c>
      <c r="H1403" s="7" t="str">
        <f>"专科(高职)"</f>
        <v>专科(高职)</v>
      </c>
      <c r="I1403" s="7" t="str">
        <f t="shared" si="550"/>
        <v>幼儿园教师资格</v>
      </c>
    </row>
    <row r="1404" customHeight="1" spans="1:9">
      <c r="A1404" s="6">
        <v>1402</v>
      </c>
      <c r="B1404" s="7" t="s">
        <v>11</v>
      </c>
      <c r="C1404" s="8" t="str">
        <f>"陈凯莉"</f>
        <v>陈凯莉</v>
      </c>
      <c r="D1404" s="8" t="str">
        <f t="shared" si="569"/>
        <v>女</v>
      </c>
      <c r="E1404" s="7" t="str">
        <f>"46002719951222702X"</f>
        <v>46002719951222702X</v>
      </c>
      <c r="F1404" s="7" t="str">
        <f>"江西省景德镇市景德镇学院"</f>
        <v>江西省景德镇市景德镇学院</v>
      </c>
      <c r="G1404" s="7" t="str">
        <f t="shared" si="574"/>
        <v>学前教育</v>
      </c>
      <c r="H1404" s="7" t="str">
        <f t="shared" si="575"/>
        <v>专科</v>
      </c>
      <c r="I1404" s="7" t="str">
        <f t="shared" si="550"/>
        <v>幼儿园教师资格</v>
      </c>
    </row>
    <row r="1405" customHeight="1" spans="1:9">
      <c r="A1405" s="6">
        <v>1403</v>
      </c>
      <c r="B1405" s="7" t="s">
        <v>11</v>
      </c>
      <c r="C1405" s="8" t="str">
        <f>"陈秋彬"</f>
        <v>陈秋彬</v>
      </c>
      <c r="D1405" s="8" t="str">
        <f t="shared" si="569"/>
        <v>女</v>
      </c>
      <c r="E1405" s="7" t="str">
        <f>"460300199409190341"</f>
        <v>460300199409190341</v>
      </c>
      <c r="F1405" s="7" t="str">
        <f>"荆楚理工学院"</f>
        <v>荆楚理工学院</v>
      </c>
      <c r="G1405" s="7" t="str">
        <f t="shared" si="574"/>
        <v>学前教育</v>
      </c>
      <c r="H1405" s="7" t="str">
        <f>"本科"</f>
        <v>本科</v>
      </c>
      <c r="I1405" s="7" t="str">
        <f t="shared" si="550"/>
        <v>幼儿园教师资格</v>
      </c>
    </row>
    <row r="1406" customHeight="1" spans="1:9">
      <c r="A1406" s="6">
        <v>1404</v>
      </c>
      <c r="B1406" s="7" t="s">
        <v>11</v>
      </c>
      <c r="C1406" s="8" t="str">
        <f>"韩林"</f>
        <v>韩林</v>
      </c>
      <c r="D1406" s="8" t="str">
        <f t="shared" si="569"/>
        <v>女</v>
      </c>
      <c r="E1406" s="7" t="str">
        <f>"460103199107160022"</f>
        <v>460103199107160022</v>
      </c>
      <c r="F1406" s="7" t="str">
        <f>"琼州学院"</f>
        <v>琼州学院</v>
      </c>
      <c r="G1406" s="7" t="str">
        <f t="shared" si="574"/>
        <v>学前教育</v>
      </c>
      <c r="H1406" s="7" t="str">
        <f t="shared" si="575"/>
        <v>专科</v>
      </c>
      <c r="I1406" s="7" t="str">
        <f t="shared" si="550"/>
        <v>幼儿园教师资格</v>
      </c>
    </row>
  </sheetData>
  <autoFilter ref="A2:I1406">
    <extLst/>
  </autoFilter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2146_5d63876d9e51f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2019-08-26T07:19:00Z</dcterms:created>
  <dcterms:modified xsi:type="dcterms:W3CDTF">2019-09-17T07:33:29Z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