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资格审核通过人员名单" sheetId="1" r:id="rId1"/>
  </sheets>
  <definedNames/>
  <calcPr fullCalcOnLoad="1"/>
</workbook>
</file>

<file path=xl/sharedStrings.xml><?xml version="1.0" encoding="utf-8"?>
<sst xmlns="http://schemas.openxmlformats.org/spreadsheetml/2006/main" count="1491" uniqueCount="8">
  <si>
    <t xml:space="preserve">临高县2019年公办幼儿园教师公开招聘资格初审合格人员名单 </t>
  </si>
  <si>
    <t>报考号</t>
  </si>
  <si>
    <t>报考岗位</t>
  </si>
  <si>
    <t>姓名</t>
  </si>
  <si>
    <t>性别</t>
  </si>
  <si>
    <t>出生年月</t>
  </si>
  <si>
    <t>1001_幼儿园教师女</t>
  </si>
  <si>
    <t>1002_幼儿园教师男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</si>
</sst>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7"/>
  <sheetViews>
    <sheetView tabSelected="1" zoomScalePageLayoutView="0" workbookViewId="0" topLeftCell="A1">
      <selection activeCell="D18" sqref="D18"/>
    </sheetView>
  </sheetViews>
  <sheetFormatPr defaultColWidth="9.00390625" defaultRowHeight="21.75" customHeight="1"/>
  <cols>
    <col min="1" max="1" width="26.00390625" style="0" customWidth="1"/>
    <col min="2" max="2" width="19.375" style="0" customWidth="1"/>
    <col min="3" max="3" width="11.625" style="0" customWidth="1"/>
    <col min="4" max="4" width="8.00390625" style="0" customWidth="1"/>
    <col min="5" max="5" width="15.75390625" style="0" customWidth="1"/>
  </cols>
  <sheetData>
    <row r="1" spans="1:5" ht="39" customHeight="1">
      <c r="A1" s="2" t="s">
        <v>0</v>
      </c>
      <c r="B1" s="2"/>
      <c r="C1" s="2"/>
      <c r="D1" s="2"/>
      <c r="E1" s="2"/>
    </row>
    <row r="2" spans="1:5" ht="21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7" s="4" customFormat="1" ht="18" customHeight="1">
      <c r="A3" s="3" t="str">
        <f>"21342019072708023694250"</f>
        <v>21342019072708023694250</v>
      </c>
      <c r="B3" s="3" t="s">
        <v>6</v>
      </c>
      <c r="C3" s="3" t="str">
        <f>"林小曼"</f>
        <v>林小曼</v>
      </c>
      <c r="D3" s="3" t="str">
        <f aca="true" t="shared" si="0" ref="D3:D66">"女"</f>
        <v>女</v>
      </c>
      <c r="E3" s="3" t="str">
        <f>"1997-01-22"</f>
        <v>1997-01-22</v>
      </c>
      <c r="G3" s="5"/>
    </row>
    <row r="4" spans="1:5" s="4" customFormat="1" ht="18" customHeight="1">
      <c r="A4" s="3" t="str">
        <f>"21342019072708023894251"</f>
        <v>21342019072708023894251</v>
      </c>
      <c r="B4" s="3" t="s">
        <v>6</v>
      </c>
      <c r="C4" s="3" t="str">
        <f>"刘信蓉"</f>
        <v>刘信蓉</v>
      </c>
      <c r="D4" s="3" t="str">
        <f t="shared" si="0"/>
        <v>女</v>
      </c>
      <c r="E4" s="3" t="str">
        <f>"1996-06-25"</f>
        <v>1996-06-25</v>
      </c>
    </row>
    <row r="5" spans="1:8" s="4" customFormat="1" ht="18" customHeight="1">
      <c r="A5" s="3" t="str">
        <f>"21342019072708030994252"</f>
        <v>21342019072708030994252</v>
      </c>
      <c r="B5" s="3" t="s">
        <v>6</v>
      </c>
      <c r="C5" s="3" t="str">
        <f>"林生霞"</f>
        <v>林生霞</v>
      </c>
      <c r="D5" s="3" t="str">
        <f t="shared" si="0"/>
        <v>女</v>
      </c>
      <c r="E5" s="3" t="str">
        <f>"1994-05-20"</f>
        <v>1994-05-20</v>
      </c>
      <c r="H5" s="6"/>
    </row>
    <row r="6" spans="1:5" s="4" customFormat="1" ht="18" customHeight="1">
      <c r="A6" s="3" t="str">
        <f>"21342019072708033994253"</f>
        <v>21342019072708033994253</v>
      </c>
      <c r="B6" s="3" t="s">
        <v>6</v>
      </c>
      <c r="C6" s="3" t="str">
        <f>"胡海乙"</f>
        <v>胡海乙</v>
      </c>
      <c r="D6" s="3" t="str">
        <f t="shared" si="0"/>
        <v>女</v>
      </c>
      <c r="E6" s="3" t="str">
        <f>"1996-06-26"</f>
        <v>1996-06-26</v>
      </c>
    </row>
    <row r="7" spans="1:5" s="4" customFormat="1" ht="18" customHeight="1">
      <c r="A7" s="3" t="str">
        <f>"21342019072708041094254"</f>
        <v>21342019072708041094254</v>
      </c>
      <c r="B7" s="3" t="s">
        <v>6</v>
      </c>
      <c r="C7" s="3" t="str">
        <f>"林若娜"</f>
        <v>林若娜</v>
      </c>
      <c r="D7" s="3" t="str">
        <f t="shared" si="0"/>
        <v>女</v>
      </c>
      <c r="E7" s="3" t="str">
        <f>"1993-02-15"</f>
        <v>1993-02-15</v>
      </c>
    </row>
    <row r="8" spans="1:5" s="4" customFormat="1" ht="18" customHeight="1">
      <c r="A8" s="3" t="str">
        <f>"21342019072708061894256"</f>
        <v>21342019072708061894256</v>
      </c>
      <c r="B8" s="3" t="s">
        <v>6</v>
      </c>
      <c r="C8" s="3" t="str">
        <f>"丁成月"</f>
        <v>丁成月</v>
      </c>
      <c r="D8" s="3" t="str">
        <f t="shared" si="0"/>
        <v>女</v>
      </c>
      <c r="E8" s="3" t="str">
        <f>"1995-05-09"</f>
        <v>1995-05-09</v>
      </c>
    </row>
    <row r="9" spans="1:5" s="4" customFormat="1" ht="18" customHeight="1">
      <c r="A9" s="3" t="str">
        <f>"21342019072708083094260"</f>
        <v>21342019072708083094260</v>
      </c>
      <c r="B9" s="3" t="s">
        <v>6</v>
      </c>
      <c r="C9" s="3" t="str">
        <f>"刘珊珊"</f>
        <v>刘珊珊</v>
      </c>
      <c r="D9" s="3" t="str">
        <f t="shared" si="0"/>
        <v>女</v>
      </c>
      <c r="E9" s="3" t="str">
        <f>"1992-12-02"</f>
        <v>1992-12-02</v>
      </c>
    </row>
    <row r="10" spans="1:5" s="4" customFormat="1" ht="18" customHeight="1">
      <c r="A10" s="3" t="str">
        <f>"21342019072708235694268"</f>
        <v>21342019072708235694268</v>
      </c>
      <c r="B10" s="3" t="s">
        <v>6</v>
      </c>
      <c r="C10" s="3" t="str">
        <f>"金红楼"</f>
        <v>金红楼</v>
      </c>
      <c r="D10" s="3" t="str">
        <f t="shared" si="0"/>
        <v>女</v>
      </c>
      <c r="E10" s="3" t="str">
        <f>"1995-05-15"</f>
        <v>1995-05-15</v>
      </c>
    </row>
    <row r="11" spans="1:5" s="4" customFormat="1" ht="18" customHeight="1">
      <c r="A11" s="3" t="str">
        <f>"21342019072708244794270"</f>
        <v>21342019072708244794270</v>
      </c>
      <c r="B11" s="3" t="s">
        <v>6</v>
      </c>
      <c r="C11" s="3" t="str">
        <f>"陈秋燕"</f>
        <v>陈秋燕</v>
      </c>
      <c r="D11" s="3" t="str">
        <f t="shared" si="0"/>
        <v>女</v>
      </c>
      <c r="E11" s="3" t="str">
        <f>"1995-03-15"</f>
        <v>1995-03-15</v>
      </c>
    </row>
    <row r="12" spans="1:5" s="4" customFormat="1" ht="18" customHeight="1">
      <c r="A12" s="3" t="str">
        <f>"21342019072708252794271"</f>
        <v>21342019072708252794271</v>
      </c>
      <c r="B12" s="3" t="s">
        <v>6</v>
      </c>
      <c r="C12" s="3" t="str">
        <f>"李叶红"</f>
        <v>李叶红</v>
      </c>
      <c r="D12" s="3" t="str">
        <f t="shared" si="0"/>
        <v>女</v>
      </c>
      <c r="E12" s="3" t="str">
        <f>"1994-12-23"</f>
        <v>1994-12-23</v>
      </c>
    </row>
    <row r="13" spans="1:5" s="4" customFormat="1" ht="18" customHeight="1">
      <c r="A13" s="3" t="str">
        <f>"21342019072708292094274"</f>
        <v>21342019072708292094274</v>
      </c>
      <c r="B13" s="3" t="s">
        <v>6</v>
      </c>
      <c r="C13" s="3" t="str">
        <f>"符木芳"</f>
        <v>符木芳</v>
      </c>
      <c r="D13" s="3" t="str">
        <f t="shared" si="0"/>
        <v>女</v>
      </c>
      <c r="E13" s="3" t="str">
        <f>"1993-01-12"</f>
        <v>1993-01-12</v>
      </c>
    </row>
    <row r="14" spans="1:5" s="4" customFormat="1" ht="18" customHeight="1">
      <c r="A14" s="3" t="str">
        <f>"21342019072708313494278"</f>
        <v>21342019072708313494278</v>
      </c>
      <c r="B14" s="3" t="s">
        <v>6</v>
      </c>
      <c r="C14" s="3" t="str">
        <f>"林可妮"</f>
        <v>林可妮</v>
      </c>
      <c r="D14" s="3" t="str">
        <f t="shared" si="0"/>
        <v>女</v>
      </c>
      <c r="E14" s="3" t="str">
        <f>"1994-01-19"</f>
        <v>1994-01-19</v>
      </c>
    </row>
    <row r="15" spans="1:5" s="4" customFormat="1" ht="18" customHeight="1">
      <c r="A15" s="3" t="str">
        <f>"21342019072708340794281"</f>
        <v>21342019072708340794281</v>
      </c>
      <c r="B15" s="3" t="s">
        <v>6</v>
      </c>
      <c r="C15" s="3" t="str">
        <f>"盘海霞"</f>
        <v>盘海霞</v>
      </c>
      <c r="D15" s="3" t="str">
        <f t="shared" si="0"/>
        <v>女</v>
      </c>
      <c r="E15" s="3" t="str">
        <f>"1996-02-10"</f>
        <v>1996-02-10</v>
      </c>
    </row>
    <row r="16" spans="1:5" s="4" customFormat="1" ht="18" customHeight="1">
      <c r="A16" s="3" t="str">
        <f>"21342019072708341794283"</f>
        <v>21342019072708341794283</v>
      </c>
      <c r="B16" s="3" t="s">
        <v>6</v>
      </c>
      <c r="C16" s="3" t="str">
        <f>"钟杰妹"</f>
        <v>钟杰妹</v>
      </c>
      <c r="D16" s="3" t="str">
        <f t="shared" si="0"/>
        <v>女</v>
      </c>
      <c r="E16" s="3" t="str">
        <f>"1990-05-27"</f>
        <v>1990-05-27</v>
      </c>
    </row>
    <row r="17" spans="1:5" s="4" customFormat="1" ht="18" customHeight="1">
      <c r="A17" s="3" t="str">
        <f>"21342019072708352094284"</f>
        <v>21342019072708352094284</v>
      </c>
      <c r="B17" s="3" t="s">
        <v>6</v>
      </c>
      <c r="C17" s="3" t="str">
        <f>"陈红杏"</f>
        <v>陈红杏</v>
      </c>
      <c r="D17" s="3" t="str">
        <f t="shared" si="0"/>
        <v>女</v>
      </c>
      <c r="E17" s="3" t="str">
        <f>"1994-07-26"</f>
        <v>1994-07-26</v>
      </c>
    </row>
    <row r="18" spans="1:5" s="4" customFormat="1" ht="18" customHeight="1">
      <c r="A18" s="3" t="str">
        <f>"21342019072708365194285"</f>
        <v>21342019072708365194285</v>
      </c>
      <c r="B18" s="3" t="s">
        <v>6</v>
      </c>
      <c r="C18" s="3" t="str">
        <f>"林凤桃"</f>
        <v>林凤桃</v>
      </c>
      <c r="D18" s="3" t="str">
        <f t="shared" si="0"/>
        <v>女</v>
      </c>
      <c r="E18" s="3" t="str">
        <f>"1995-01-26"</f>
        <v>1995-01-26</v>
      </c>
    </row>
    <row r="19" spans="1:5" s="4" customFormat="1" ht="18" customHeight="1">
      <c r="A19" s="3" t="str">
        <f>"21342019072708464694291"</f>
        <v>21342019072708464694291</v>
      </c>
      <c r="B19" s="3" t="s">
        <v>6</v>
      </c>
      <c r="C19" s="3" t="str">
        <f>"唐小妹"</f>
        <v>唐小妹</v>
      </c>
      <c r="D19" s="3" t="str">
        <f t="shared" si="0"/>
        <v>女</v>
      </c>
      <c r="E19" s="3" t="str">
        <f>"1996-11-18"</f>
        <v>1996-11-18</v>
      </c>
    </row>
    <row r="20" spans="1:5" s="4" customFormat="1" ht="18" customHeight="1">
      <c r="A20" s="3" t="str">
        <f>"21342019072708485794294"</f>
        <v>21342019072708485794294</v>
      </c>
      <c r="B20" s="3" t="s">
        <v>6</v>
      </c>
      <c r="C20" s="3" t="str">
        <f>"王小妹"</f>
        <v>王小妹</v>
      </c>
      <c r="D20" s="3" t="str">
        <f t="shared" si="0"/>
        <v>女</v>
      </c>
      <c r="E20" s="3" t="str">
        <f>"1992-04-30"</f>
        <v>1992-04-30</v>
      </c>
    </row>
    <row r="21" spans="1:5" s="4" customFormat="1" ht="18" customHeight="1">
      <c r="A21" s="3" t="str">
        <f>"21342019072708493194295"</f>
        <v>21342019072708493194295</v>
      </c>
      <c r="B21" s="3" t="s">
        <v>6</v>
      </c>
      <c r="C21" s="3" t="str">
        <f>"吴海婷"</f>
        <v>吴海婷</v>
      </c>
      <c r="D21" s="3" t="str">
        <f t="shared" si="0"/>
        <v>女</v>
      </c>
      <c r="E21" s="3" t="str">
        <f>"1995-11-27"</f>
        <v>1995-11-27</v>
      </c>
    </row>
    <row r="22" spans="1:5" s="4" customFormat="1" ht="18" customHeight="1">
      <c r="A22" s="3" t="str">
        <f>"21342019072708501494297"</f>
        <v>21342019072708501494297</v>
      </c>
      <c r="B22" s="3" t="s">
        <v>6</v>
      </c>
      <c r="C22" s="3" t="str">
        <f>"高怡婷"</f>
        <v>高怡婷</v>
      </c>
      <c r="D22" s="3" t="str">
        <f t="shared" si="0"/>
        <v>女</v>
      </c>
      <c r="E22" s="3" t="str">
        <f>"1995-11-06"</f>
        <v>1995-11-06</v>
      </c>
    </row>
    <row r="23" spans="1:5" s="4" customFormat="1" ht="18" customHeight="1">
      <c r="A23" s="3" t="str">
        <f>"21342019072708521294298"</f>
        <v>21342019072708521294298</v>
      </c>
      <c r="B23" s="3" t="s">
        <v>6</v>
      </c>
      <c r="C23" s="3" t="str">
        <f>"王雪"</f>
        <v>王雪</v>
      </c>
      <c r="D23" s="3" t="str">
        <f t="shared" si="0"/>
        <v>女</v>
      </c>
      <c r="E23" s="3" t="str">
        <f>"1990-03-09"</f>
        <v>1990-03-09</v>
      </c>
    </row>
    <row r="24" spans="1:5" s="4" customFormat="1" ht="18" customHeight="1">
      <c r="A24" s="3" t="str">
        <f>"21342019072708542694300"</f>
        <v>21342019072708542694300</v>
      </c>
      <c r="B24" s="3" t="s">
        <v>6</v>
      </c>
      <c r="C24" s="3" t="str">
        <f>"陈燕转"</f>
        <v>陈燕转</v>
      </c>
      <c r="D24" s="3" t="str">
        <f t="shared" si="0"/>
        <v>女</v>
      </c>
      <c r="E24" s="3" t="str">
        <f>"1998-02-09"</f>
        <v>1998-02-09</v>
      </c>
    </row>
    <row r="25" spans="1:5" s="4" customFormat="1" ht="18" customHeight="1">
      <c r="A25" s="3" t="str">
        <f>"21342019072708544394301"</f>
        <v>21342019072708544394301</v>
      </c>
      <c r="B25" s="3" t="s">
        <v>6</v>
      </c>
      <c r="C25" s="3" t="str">
        <f>"胡丹"</f>
        <v>胡丹</v>
      </c>
      <c r="D25" s="3" t="str">
        <f t="shared" si="0"/>
        <v>女</v>
      </c>
      <c r="E25" s="3" t="str">
        <f>"1996-01-24"</f>
        <v>1996-01-24</v>
      </c>
    </row>
    <row r="26" spans="1:5" s="4" customFormat="1" ht="18" customHeight="1">
      <c r="A26" s="3" t="str">
        <f>"21342019072708591194305"</f>
        <v>21342019072708591194305</v>
      </c>
      <c r="B26" s="3" t="s">
        <v>6</v>
      </c>
      <c r="C26" s="3" t="str">
        <f>"王斐"</f>
        <v>王斐</v>
      </c>
      <c r="D26" s="3" t="str">
        <f t="shared" si="0"/>
        <v>女</v>
      </c>
      <c r="E26" s="3" t="str">
        <f>"1998-10-20"</f>
        <v>1998-10-20</v>
      </c>
    </row>
    <row r="27" spans="1:5" s="4" customFormat="1" ht="18" customHeight="1">
      <c r="A27" s="3" t="str">
        <f>"21342019072709031294309"</f>
        <v>21342019072709031294309</v>
      </c>
      <c r="B27" s="3" t="s">
        <v>6</v>
      </c>
      <c r="C27" s="3" t="str">
        <f>"符玉京"</f>
        <v>符玉京</v>
      </c>
      <c r="D27" s="3" t="str">
        <f t="shared" si="0"/>
        <v>女</v>
      </c>
      <c r="E27" s="3" t="str">
        <f>"1992-09-10"</f>
        <v>1992-09-10</v>
      </c>
    </row>
    <row r="28" spans="1:5" s="4" customFormat="1" ht="18" customHeight="1">
      <c r="A28" s="3" t="str">
        <f>"21342019072709041794313"</f>
        <v>21342019072709041794313</v>
      </c>
      <c r="B28" s="3" t="s">
        <v>6</v>
      </c>
      <c r="C28" s="3" t="str">
        <f>"邝洁儿"</f>
        <v>邝洁儿</v>
      </c>
      <c r="D28" s="3" t="str">
        <f t="shared" si="0"/>
        <v>女</v>
      </c>
      <c r="E28" s="3" t="str">
        <f>"1992-12-10"</f>
        <v>1992-12-10</v>
      </c>
    </row>
    <row r="29" spans="1:5" s="4" customFormat="1" ht="18" customHeight="1">
      <c r="A29" s="3" t="str">
        <f>"21342019072709104494322"</f>
        <v>21342019072709104494322</v>
      </c>
      <c r="B29" s="3" t="s">
        <v>6</v>
      </c>
      <c r="C29" s="3" t="str">
        <f>"方建婷"</f>
        <v>方建婷</v>
      </c>
      <c r="D29" s="3" t="str">
        <f t="shared" si="0"/>
        <v>女</v>
      </c>
      <c r="E29" s="3" t="str">
        <f>"1993-03-19"</f>
        <v>1993-03-19</v>
      </c>
    </row>
    <row r="30" spans="1:5" s="4" customFormat="1" ht="18" customHeight="1">
      <c r="A30" s="3" t="str">
        <f>"21342019072709105094323"</f>
        <v>21342019072709105094323</v>
      </c>
      <c r="B30" s="3" t="s">
        <v>6</v>
      </c>
      <c r="C30" s="3" t="str">
        <f>"王小芳"</f>
        <v>王小芳</v>
      </c>
      <c r="D30" s="3" t="str">
        <f t="shared" si="0"/>
        <v>女</v>
      </c>
      <c r="E30" s="3" t="str">
        <f>"1992-01-15"</f>
        <v>1992-01-15</v>
      </c>
    </row>
    <row r="31" spans="1:5" s="4" customFormat="1" ht="18" customHeight="1">
      <c r="A31" s="3" t="str">
        <f>"21342019072709125594325"</f>
        <v>21342019072709125594325</v>
      </c>
      <c r="B31" s="3" t="s">
        <v>6</v>
      </c>
      <c r="C31" s="3" t="str">
        <f>"凌端"</f>
        <v>凌端</v>
      </c>
      <c r="D31" s="3" t="str">
        <f t="shared" si="0"/>
        <v>女</v>
      </c>
      <c r="E31" s="3" t="str">
        <f>"1995-06-16"</f>
        <v>1995-06-16</v>
      </c>
    </row>
    <row r="32" spans="1:5" s="4" customFormat="1" ht="18" customHeight="1">
      <c r="A32" s="3" t="str">
        <f>"21342019072709135694327"</f>
        <v>21342019072709135694327</v>
      </c>
      <c r="B32" s="3" t="s">
        <v>6</v>
      </c>
      <c r="C32" s="3" t="str">
        <f>"苏小慧"</f>
        <v>苏小慧</v>
      </c>
      <c r="D32" s="3" t="str">
        <f t="shared" si="0"/>
        <v>女</v>
      </c>
      <c r="E32" s="3" t="str">
        <f>"1991-10-12"</f>
        <v>1991-10-12</v>
      </c>
    </row>
    <row r="33" spans="1:5" s="4" customFormat="1" ht="18" customHeight="1">
      <c r="A33" s="3" t="str">
        <f>"21342019072709141194328"</f>
        <v>21342019072709141194328</v>
      </c>
      <c r="B33" s="3" t="s">
        <v>6</v>
      </c>
      <c r="C33" s="3" t="str">
        <f>"麦星"</f>
        <v>麦星</v>
      </c>
      <c r="D33" s="3" t="str">
        <f t="shared" si="0"/>
        <v>女</v>
      </c>
      <c r="E33" s="3" t="str">
        <f>"1992-06-18"</f>
        <v>1992-06-18</v>
      </c>
    </row>
    <row r="34" spans="1:5" s="4" customFormat="1" ht="18" customHeight="1">
      <c r="A34" s="3" t="str">
        <f>"21342019072709174394331"</f>
        <v>21342019072709174394331</v>
      </c>
      <c r="B34" s="3" t="s">
        <v>6</v>
      </c>
      <c r="C34" s="3" t="str">
        <f>"邱丽娜"</f>
        <v>邱丽娜</v>
      </c>
      <c r="D34" s="3" t="str">
        <f t="shared" si="0"/>
        <v>女</v>
      </c>
      <c r="E34" s="3" t="str">
        <f>"1990-11-28"</f>
        <v>1990-11-28</v>
      </c>
    </row>
    <row r="35" spans="1:5" s="4" customFormat="1" ht="18" customHeight="1">
      <c r="A35" s="3" t="str">
        <f>"21342019072709211794335"</f>
        <v>21342019072709211794335</v>
      </c>
      <c r="B35" s="3" t="s">
        <v>6</v>
      </c>
      <c r="C35" s="3" t="str">
        <f>"符宝娜"</f>
        <v>符宝娜</v>
      </c>
      <c r="D35" s="3" t="str">
        <f t="shared" si="0"/>
        <v>女</v>
      </c>
      <c r="E35" s="3" t="str">
        <f>"1994-10-18"</f>
        <v>1994-10-18</v>
      </c>
    </row>
    <row r="36" spans="1:5" s="4" customFormat="1" ht="18" customHeight="1">
      <c r="A36" s="3" t="str">
        <f>"21342019072709233494338"</f>
        <v>21342019072709233494338</v>
      </c>
      <c r="B36" s="3" t="s">
        <v>6</v>
      </c>
      <c r="C36" s="3" t="str">
        <f>"曾月花"</f>
        <v>曾月花</v>
      </c>
      <c r="D36" s="3" t="str">
        <f t="shared" si="0"/>
        <v>女</v>
      </c>
      <c r="E36" s="3" t="str">
        <f>"1996-01-23"</f>
        <v>1996-01-23</v>
      </c>
    </row>
    <row r="37" spans="1:5" s="4" customFormat="1" ht="18" customHeight="1">
      <c r="A37" s="3" t="str">
        <f>"21342019072709271094341"</f>
        <v>21342019072709271094341</v>
      </c>
      <c r="B37" s="3" t="s">
        <v>6</v>
      </c>
      <c r="C37" s="3" t="str">
        <f>"陈泰慧"</f>
        <v>陈泰慧</v>
      </c>
      <c r="D37" s="3" t="str">
        <f t="shared" si="0"/>
        <v>女</v>
      </c>
      <c r="E37" s="3" t="str">
        <f>"1992-11-18"</f>
        <v>1992-11-18</v>
      </c>
    </row>
    <row r="38" spans="1:5" s="4" customFormat="1" ht="18" customHeight="1">
      <c r="A38" s="3" t="str">
        <f>"21342019072709281994344"</f>
        <v>21342019072709281994344</v>
      </c>
      <c r="B38" s="3" t="s">
        <v>6</v>
      </c>
      <c r="C38" s="3" t="str">
        <f>"王梅芳"</f>
        <v>王梅芳</v>
      </c>
      <c r="D38" s="3" t="str">
        <f t="shared" si="0"/>
        <v>女</v>
      </c>
      <c r="E38" s="3" t="str">
        <f>"1996-05-17"</f>
        <v>1996-05-17</v>
      </c>
    </row>
    <row r="39" spans="1:5" s="4" customFormat="1" ht="18" customHeight="1">
      <c r="A39" s="3" t="str">
        <f>"21342019072709282094345"</f>
        <v>21342019072709282094345</v>
      </c>
      <c r="B39" s="3" t="s">
        <v>6</v>
      </c>
      <c r="C39" s="3" t="str">
        <f>"许志珠"</f>
        <v>许志珠</v>
      </c>
      <c r="D39" s="3" t="str">
        <f t="shared" si="0"/>
        <v>女</v>
      </c>
      <c r="E39" s="3" t="str">
        <f>"1993-03-11"</f>
        <v>1993-03-11</v>
      </c>
    </row>
    <row r="40" spans="1:5" s="4" customFormat="1" ht="18" customHeight="1">
      <c r="A40" s="3" t="str">
        <f>"21342019072709282694346"</f>
        <v>21342019072709282694346</v>
      </c>
      <c r="B40" s="3" t="s">
        <v>6</v>
      </c>
      <c r="C40" s="3" t="str">
        <f>"孙芸"</f>
        <v>孙芸</v>
      </c>
      <c r="D40" s="3" t="str">
        <f t="shared" si="0"/>
        <v>女</v>
      </c>
      <c r="E40" s="3" t="str">
        <f>"1998-06-01"</f>
        <v>1998-06-01</v>
      </c>
    </row>
    <row r="41" spans="1:5" s="4" customFormat="1" ht="18" customHeight="1">
      <c r="A41" s="3" t="str">
        <f>"21342019072709293094347"</f>
        <v>21342019072709293094347</v>
      </c>
      <c r="B41" s="3" t="s">
        <v>6</v>
      </c>
      <c r="C41" s="3" t="str">
        <f>"陈梅暖"</f>
        <v>陈梅暖</v>
      </c>
      <c r="D41" s="3" t="str">
        <f t="shared" si="0"/>
        <v>女</v>
      </c>
      <c r="E41" s="3" t="str">
        <f>"1995-06-07"</f>
        <v>1995-06-07</v>
      </c>
    </row>
    <row r="42" spans="1:5" s="4" customFormat="1" ht="18" customHeight="1">
      <c r="A42" s="3" t="str">
        <f>"21342019072709305194349"</f>
        <v>21342019072709305194349</v>
      </c>
      <c r="B42" s="3" t="s">
        <v>6</v>
      </c>
      <c r="C42" s="3" t="str">
        <f>"林秀妹"</f>
        <v>林秀妹</v>
      </c>
      <c r="D42" s="3" t="str">
        <f t="shared" si="0"/>
        <v>女</v>
      </c>
      <c r="E42" s="3" t="str">
        <f>"1995-04-12"</f>
        <v>1995-04-12</v>
      </c>
    </row>
    <row r="43" spans="1:5" s="4" customFormat="1" ht="18" customHeight="1">
      <c r="A43" s="3" t="str">
        <f>"21342019072709310794351"</f>
        <v>21342019072709310794351</v>
      </c>
      <c r="B43" s="3" t="s">
        <v>6</v>
      </c>
      <c r="C43" s="3" t="str">
        <f>"符琼兰"</f>
        <v>符琼兰</v>
      </c>
      <c r="D43" s="3" t="str">
        <f t="shared" si="0"/>
        <v>女</v>
      </c>
      <c r="E43" s="3" t="str">
        <f>"1993-11-28"</f>
        <v>1993-11-28</v>
      </c>
    </row>
    <row r="44" spans="1:5" s="4" customFormat="1" ht="18" customHeight="1">
      <c r="A44" s="3" t="str">
        <f>"21342019072709312594352"</f>
        <v>21342019072709312594352</v>
      </c>
      <c r="B44" s="3" t="s">
        <v>6</v>
      </c>
      <c r="C44" s="3" t="str">
        <f>"王中梅"</f>
        <v>王中梅</v>
      </c>
      <c r="D44" s="3" t="str">
        <f t="shared" si="0"/>
        <v>女</v>
      </c>
      <c r="E44" s="3" t="str">
        <f>"1994-08-08"</f>
        <v>1994-08-08</v>
      </c>
    </row>
    <row r="45" spans="1:5" s="4" customFormat="1" ht="18" customHeight="1">
      <c r="A45" s="3" t="str">
        <f>"21342019072709324694354"</f>
        <v>21342019072709324694354</v>
      </c>
      <c r="B45" s="3" t="s">
        <v>6</v>
      </c>
      <c r="C45" s="3" t="str">
        <f>"吴雨静"</f>
        <v>吴雨静</v>
      </c>
      <c r="D45" s="3" t="str">
        <f t="shared" si="0"/>
        <v>女</v>
      </c>
      <c r="E45" s="3" t="str">
        <f>"1998-03-15"</f>
        <v>1998-03-15</v>
      </c>
    </row>
    <row r="46" spans="1:5" s="4" customFormat="1" ht="18" customHeight="1">
      <c r="A46" s="3" t="str">
        <f>"21342019072709331694356"</f>
        <v>21342019072709331694356</v>
      </c>
      <c r="B46" s="3" t="s">
        <v>6</v>
      </c>
      <c r="C46" s="3" t="str">
        <f>"邱如意"</f>
        <v>邱如意</v>
      </c>
      <c r="D46" s="3" t="str">
        <f t="shared" si="0"/>
        <v>女</v>
      </c>
      <c r="E46" s="3" t="str">
        <f>"1994-05-05"</f>
        <v>1994-05-05</v>
      </c>
    </row>
    <row r="47" spans="1:5" s="4" customFormat="1" ht="18" customHeight="1">
      <c r="A47" s="3" t="str">
        <f>"21342019072709333494359"</f>
        <v>21342019072709333494359</v>
      </c>
      <c r="B47" s="3" t="s">
        <v>6</v>
      </c>
      <c r="C47" s="3" t="str">
        <f>"刘紫姗"</f>
        <v>刘紫姗</v>
      </c>
      <c r="D47" s="3" t="str">
        <f t="shared" si="0"/>
        <v>女</v>
      </c>
      <c r="E47" s="3" t="str">
        <f>"1996-04-17"</f>
        <v>1996-04-17</v>
      </c>
    </row>
    <row r="48" spans="1:5" s="4" customFormat="1" ht="18" customHeight="1">
      <c r="A48" s="3" t="str">
        <f>"21342019072709335894360"</f>
        <v>21342019072709335894360</v>
      </c>
      <c r="B48" s="3" t="s">
        <v>6</v>
      </c>
      <c r="C48" s="3" t="str">
        <f>"符艳珊"</f>
        <v>符艳珊</v>
      </c>
      <c r="D48" s="3" t="str">
        <f t="shared" si="0"/>
        <v>女</v>
      </c>
      <c r="E48" s="3" t="str">
        <f>"1991-10-04"</f>
        <v>1991-10-04</v>
      </c>
    </row>
    <row r="49" spans="1:5" s="4" customFormat="1" ht="18" customHeight="1">
      <c r="A49" s="3" t="str">
        <f>"21342019072709344194362"</f>
        <v>21342019072709344194362</v>
      </c>
      <c r="B49" s="3" t="s">
        <v>6</v>
      </c>
      <c r="C49" s="3" t="str">
        <f>"王桂珠"</f>
        <v>王桂珠</v>
      </c>
      <c r="D49" s="3" t="str">
        <f t="shared" si="0"/>
        <v>女</v>
      </c>
      <c r="E49" s="3" t="str">
        <f>"1998-10-27"</f>
        <v>1998-10-27</v>
      </c>
    </row>
    <row r="50" spans="1:5" s="4" customFormat="1" ht="18" customHeight="1">
      <c r="A50" s="3" t="str">
        <f>"21342019072709350394364"</f>
        <v>21342019072709350394364</v>
      </c>
      <c r="B50" s="3" t="s">
        <v>6</v>
      </c>
      <c r="C50" s="3" t="str">
        <f>"陈少芳"</f>
        <v>陈少芳</v>
      </c>
      <c r="D50" s="3" t="str">
        <f t="shared" si="0"/>
        <v>女</v>
      </c>
      <c r="E50" s="3" t="str">
        <f>"1994-05-08"</f>
        <v>1994-05-08</v>
      </c>
    </row>
    <row r="51" spans="1:5" s="4" customFormat="1" ht="18" customHeight="1">
      <c r="A51" s="3" t="str">
        <f>"21342019072709363694365"</f>
        <v>21342019072709363694365</v>
      </c>
      <c r="B51" s="3" t="s">
        <v>6</v>
      </c>
      <c r="C51" s="3" t="str">
        <f>"王慧莹"</f>
        <v>王慧莹</v>
      </c>
      <c r="D51" s="3" t="str">
        <f t="shared" si="0"/>
        <v>女</v>
      </c>
      <c r="E51" s="3" t="str">
        <f>"1997-05-24"</f>
        <v>1997-05-24</v>
      </c>
    </row>
    <row r="52" spans="1:5" s="4" customFormat="1" ht="18" customHeight="1">
      <c r="A52" s="3" t="str">
        <f>"21342019072709402994367"</f>
        <v>21342019072709402994367</v>
      </c>
      <c r="B52" s="3" t="s">
        <v>6</v>
      </c>
      <c r="C52" s="3" t="str">
        <f>"王丽盈"</f>
        <v>王丽盈</v>
      </c>
      <c r="D52" s="3" t="str">
        <f t="shared" si="0"/>
        <v>女</v>
      </c>
      <c r="E52" s="3" t="str">
        <f>"1996-03-10"</f>
        <v>1996-03-10</v>
      </c>
    </row>
    <row r="53" spans="1:5" s="4" customFormat="1" ht="18" customHeight="1">
      <c r="A53" s="3" t="str">
        <f>"21342019072709403394368"</f>
        <v>21342019072709403394368</v>
      </c>
      <c r="B53" s="3" t="s">
        <v>6</v>
      </c>
      <c r="C53" s="3" t="str">
        <f>"周桂娥"</f>
        <v>周桂娥</v>
      </c>
      <c r="D53" s="3" t="str">
        <f t="shared" si="0"/>
        <v>女</v>
      </c>
      <c r="E53" s="3" t="str">
        <f>"1990-08-04"</f>
        <v>1990-08-04</v>
      </c>
    </row>
    <row r="54" spans="1:5" s="4" customFormat="1" ht="18" customHeight="1">
      <c r="A54" s="3" t="str">
        <f>"21342019072709443994373"</f>
        <v>21342019072709443994373</v>
      </c>
      <c r="B54" s="3" t="s">
        <v>6</v>
      </c>
      <c r="C54" s="3" t="str">
        <f>"何慧颖"</f>
        <v>何慧颖</v>
      </c>
      <c r="D54" s="3" t="str">
        <f t="shared" si="0"/>
        <v>女</v>
      </c>
      <c r="E54" s="3" t="str">
        <f>"1996-10-22"</f>
        <v>1996-10-22</v>
      </c>
    </row>
    <row r="55" spans="1:5" s="4" customFormat="1" ht="18" customHeight="1">
      <c r="A55" s="3" t="str">
        <f>"21342019072709463694376"</f>
        <v>21342019072709463694376</v>
      </c>
      <c r="B55" s="3" t="s">
        <v>6</v>
      </c>
      <c r="C55" s="3" t="str">
        <f>"李兑香"</f>
        <v>李兑香</v>
      </c>
      <c r="D55" s="3" t="str">
        <f t="shared" si="0"/>
        <v>女</v>
      </c>
      <c r="E55" s="3" t="str">
        <f>"1994-06-07"</f>
        <v>1994-06-07</v>
      </c>
    </row>
    <row r="56" spans="1:5" s="4" customFormat="1" ht="18" customHeight="1">
      <c r="A56" s="3" t="str">
        <f>"21342019072709473194377"</f>
        <v>21342019072709473194377</v>
      </c>
      <c r="B56" s="3" t="s">
        <v>6</v>
      </c>
      <c r="C56" s="3" t="str">
        <f>"何日丽"</f>
        <v>何日丽</v>
      </c>
      <c r="D56" s="3" t="str">
        <f t="shared" si="0"/>
        <v>女</v>
      </c>
      <c r="E56" s="3" t="str">
        <f>"1993-10-23"</f>
        <v>1993-10-23</v>
      </c>
    </row>
    <row r="57" spans="1:5" s="4" customFormat="1" ht="18" customHeight="1">
      <c r="A57" s="3" t="str">
        <f>"21342019072709491694382"</f>
        <v>21342019072709491694382</v>
      </c>
      <c r="B57" s="3" t="s">
        <v>6</v>
      </c>
      <c r="C57" s="3" t="str">
        <f>"王江妹"</f>
        <v>王江妹</v>
      </c>
      <c r="D57" s="3" t="str">
        <f t="shared" si="0"/>
        <v>女</v>
      </c>
      <c r="E57" s="3" t="str">
        <f>"1992-04-20"</f>
        <v>1992-04-20</v>
      </c>
    </row>
    <row r="58" spans="1:5" s="4" customFormat="1" ht="18" customHeight="1">
      <c r="A58" s="3" t="str">
        <f>"21342019072709521994385"</f>
        <v>21342019072709521994385</v>
      </c>
      <c r="B58" s="3" t="s">
        <v>6</v>
      </c>
      <c r="C58" s="3" t="str">
        <f>"张云"</f>
        <v>张云</v>
      </c>
      <c r="D58" s="3" t="str">
        <f t="shared" si="0"/>
        <v>女</v>
      </c>
      <c r="E58" s="3" t="str">
        <f>"1992-12-08"</f>
        <v>1992-12-08</v>
      </c>
    </row>
    <row r="59" spans="1:5" s="4" customFormat="1" ht="18" customHeight="1">
      <c r="A59" s="3" t="str">
        <f>"21342019072709531394388"</f>
        <v>21342019072709531394388</v>
      </c>
      <c r="B59" s="3" t="s">
        <v>6</v>
      </c>
      <c r="C59" s="3" t="str">
        <f>"吴娇莲"</f>
        <v>吴娇莲</v>
      </c>
      <c r="D59" s="3" t="str">
        <f t="shared" si="0"/>
        <v>女</v>
      </c>
      <c r="E59" s="3" t="str">
        <f>"1995-11-01"</f>
        <v>1995-11-01</v>
      </c>
    </row>
    <row r="60" spans="1:5" s="4" customFormat="1" ht="18" customHeight="1">
      <c r="A60" s="3" t="str">
        <f>"21342019072709533594390"</f>
        <v>21342019072709533594390</v>
      </c>
      <c r="B60" s="3" t="s">
        <v>6</v>
      </c>
      <c r="C60" s="3" t="str">
        <f>"张云玉"</f>
        <v>张云玉</v>
      </c>
      <c r="D60" s="3" t="str">
        <f t="shared" si="0"/>
        <v>女</v>
      </c>
      <c r="E60" s="3" t="str">
        <f>"1995-07-20"</f>
        <v>1995-07-20</v>
      </c>
    </row>
    <row r="61" spans="1:5" s="4" customFormat="1" ht="18" customHeight="1">
      <c r="A61" s="3" t="str">
        <f>"21342019072709542394392"</f>
        <v>21342019072709542394392</v>
      </c>
      <c r="B61" s="3" t="s">
        <v>6</v>
      </c>
      <c r="C61" s="3" t="str">
        <f>"羊妹妹"</f>
        <v>羊妹妹</v>
      </c>
      <c r="D61" s="3" t="str">
        <f t="shared" si="0"/>
        <v>女</v>
      </c>
      <c r="E61" s="3" t="str">
        <f>"1994-03-16"</f>
        <v>1994-03-16</v>
      </c>
    </row>
    <row r="62" spans="1:5" s="4" customFormat="1" ht="18" customHeight="1">
      <c r="A62" s="3" t="str">
        <f>"21342019072709544194393"</f>
        <v>21342019072709544194393</v>
      </c>
      <c r="B62" s="3" t="s">
        <v>6</v>
      </c>
      <c r="C62" s="3" t="str">
        <f>"符冠亮"</f>
        <v>符冠亮</v>
      </c>
      <c r="D62" s="3" t="str">
        <f t="shared" si="0"/>
        <v>女</v>
      </c>
      <c r="E62" s="3" t="str">
        <f>"1997-06-10"</f>
        <v>1997-06-10</v>
      </c>
    </row>
    <row r="63" spans="1:5" s="4" customFormat="1" ht="18" customHeight="1">
      <c r="A63" s="3" t="str">
        <f>"21342019072709544394394"</f>
        <v>21342019072709544394394</v>
      </c>
      <c r="B63" s="3" t="s">
        <v>6</v>
      </c>
      <c r="C63" s="3" t="str">
        <f>"黄小妹"</f>
        <v>黄小妹</v>
      </c>
      <c r="D63" s="3" t="str">
        <f t="shared" si="0"/>
        <v>女</v>
      </c>
      <c r="E63" s="3" t="str">
        <f>"1994-10-16"</f>
        <v>1994-10-16</v>
      </c>
    </row>
    <row r="64" spans="1:5" s="4" customFormat="1" ht="18" customHeight="1">
      <c r="A64" s="3" t="str">
        <f>"21342019072709551194397"</f>
        <v>21342019072709551194397</v>
      </c>
      <c r="B64" s="3" t="s">
        <v>6</v>
      </c>
      <c r="C64" s="3" t="str">
        <f>"黄少丹"</f>
        <v>黄少丹</v>
      </c>
      <c r="D64" s="3" t="str">
        <f t="shared" si="0"/>
        <v>女</v>
      </c>
      <c r="E64" s="3" t="str">
        <f>"1996-06-27"</f>
        <v>1996-06-27</v>
      </c>
    </row>
    <row r="65" spans="1:5" s="4" customFormat="1" ht="18" customHeight="1">
      <c r="A65" s="3" t="str">
        <f>"21342019072709560794399"</f>
        <v>21342019072709560794399</v>
      </c>
      <c r="B65" s="3" t="s">
        <v>6</v>
      </c>
      <c r="C65" s="3" t="str">
        <f>"陈诗儒"</f>
        <v>陈诗儒</v>
      </c>
      <c r="D65" s="3" t="str">
        <f t="shared" si="0"/>
        <v>女</v>
      </c>
      <c r="E65" s="3" t="str">
        <f>"1992-10-06"</f>
        <v>1992-10-06</v>
      </c>
    </row>
    <row r="66" spans="1:5" s="4" customFormat="1" ht="18" customHeight="1">
      <c r="A66" s="3" t="str">
        <f>"21342019072709582794400"</f>
        <v>21342019072709582794400</v>
      </c>
      <c r="B66" s="3" t="s">
        <v>6</v>
      </c>
      <c r="C66" s="3" t="str">
        <f>"李士香"</f>
        <v>李士香</v>
      </c>
      <c r="D66" s="3" t="str">
        <f t="shared" si="0"/>
        <v>女</v>
      </c>
      <c r="E66" s="3" t="str">
        <f>"1995-06-07"</f>
        <v>1995-06-07</v>
      </c>
    </row>
    <row r="67" spans="1:5" s="4" customFormat="1" ht="18" customHeight="1">
      <c r="A67" s="3" t="str">
        <f>"21342019072709590294401"</f>
        <v>21342019072709590294401</v>
      </c>
      <c r="B67" s="3" t="s">
        <v>6</v>
      </c>
      <c r="C67" s="3" t="str">
        <f>"黄丹丹"</f>
        <v>黄丹丹</v>
      </c>
      <c r="D67" s="3" t="str">
        <f aca="true" t="shared" si="1" ref="D67:D130">"女"</f>
        <v>女</v>
      </c>
      <c r="E67" s="3" t="str">
        <f>"1996-05-28"</f>
        <v>1996-05-28</v>
      </c>
    </row>
    <row r="68" spans="1:5" s="4" customFormat="1" ht="18" customHeight="1">
      <c r="A68" s="3" t="str">
        <f>"21342019072709591594403"</f>
        <v>21342019072709591594403</v>
      </c>
      <c r="B68" s="3" t="s">
        <v>6</v>
      </c>
      <c r="C68" s="3" t="str">
        <f>"洪愉"</f>
        <v>洪愉</v>
      </c>
      <c r="D68" s="3" t="str">
        <f t="shared" si="1"/>
        <v>女</v>
      </c>
      <c r="E68" s="3" t="str">
        <f>"1996-10-27"</f>
        <v>1996-10-27</v>
      </c>
    </row>
    <row r="69" spans="1:5" s="4" customFormat="1" ht="18" customHeight="1">
      <c r="A69" s="3" t="str">
        <f>"21342019072709593394404"</f>
        <v>21342019072709593394404</v>
      </c>
      <c r="B69" s="3" t="s">
        <v>6</v>
      </c>
      <c r="C69" s="3" t="str">
        <f>"陈燕她"</f>
        <v>陈燕她</v>
      </c>
      <c r="D69" s="3" t="str">
        <f t="shared" si="1"/>
        <v>女</v>
      </c>
      <c r="E69" s="3" t="str">
        <f>"1992-12-19"</f>
        <v>1992-12-19</v>
      </c>
    </row>
    <row r="70" spans="1:5" s="4" customFormat="1" ht="18" customHeight="1">
      <c r="A70" s="3" t="str">
        <f>"21342019072709593494405"</f>
        <v>21342019072709593494405</v>
      </c>
      <c r="B70" s="3" t="s">
        <v>6</v>
      </c>
      <c r="C70" s="3" t="str">
        <f>"曾凌萍"</f>
        <v>曾凌萍</v>
      </c>
      <c r="D70" s="3" t="str">
        <f t="shared" si="1"/>
        <v>女</v>
      </c>
      <c r="E70" s="3" t="str">
        <f>"1990-09-12"</f>
        <v>1990-09-12</v>
      </c>
    </row>
    <row r="71" spans="1:5" s="4" customFormat="1" ht="18" customHeight="1">
      <c r="A71" s="3" t="str">
        <f>"21342019072710003994406"</f>
        <v>21342019072710003994406</v>
      </c>
      <c r="B71" s="3" t="s">
        <v>6</v>
      </c>
      <c r="C71" s="3" t="str">
        <f>"肖海灵"</f>
        <v>肖海灵</v>
      </c>
      <c r="D71" s="3" t="str">
        <f t="shared" si="1"/>
        <v>女</v>
      </c>
      <c r="E71" s="3" t="str">
        <f>"1990-05-27"</f>
        <v>1990-05-27</v>
      </c>
    </row>
    <row r="72" spans="1:5" s="4" customFormat="1" ht="18" customHeight="1">
      <c r="A72" s="3" t="str">
        <f>"21342019072710015494407"</f>
        <v>21342019072710015494407</v>
      </c>
      <c r="B72" s="3" t="s">
        <v>6</v>
      </c>
      <c r="C72" s="3" t="str">
        <f>"李丽萍"</f>
        <v>李丽萍</v>
      </c>
      <c r="D72" s="3" t="str">
        <f t="shared" si="1"/>
        <v>女</v>
      </c>
      <c r="E72" s="3" t="str">
        <f>"1993-10-18"</f>
        <v>1993-10-18</v>
      </c>
    </row>
    <row r="73" spans="1:5" s="4" customFormat="1" ht="18" customHeight="1">
      <c r="A73" s="3" t="str">
        <f>"21342019072710043594411"</f>
        <v>21342019072710043594411</v>
      </c>
      <c r="B73" s="3" t="s">
        <v>6</v>
      </c>
      <c r="C73" s="3" t="str">
        <f>"高菊飞"</f>
        <v>高菊飞</v>
      </c>
      <c r="D73" s="3" t="str">
        <f t="shared" si="1"/>
        <v>女</v>
      </c>
      <c r="E73" s="3" t="str">
        <f>"1993-10-09"</f>
        <v>1993-10-09</v>
      </c>
    </row>
    <row r="74" spans="1:5" s="4" customFormat="1" ht="18" customHeight="1">
      <c r="A74" s="3" t="str">
        <f>"21342019072710074694418"</f>
        <v>21342019072710074694418</v>
      </c>
      <c r="B74" s="3" t="s">
        <v>6</v>
      </c>
      <c r="C74" s="3" t="str">
        <f>"林丽杏"</f>
        <v>林丽杏</v>
      </c>
      <c r="D74" s="3" t="str">
        <f t="shared" si="1"/>
        <v>女</v>
      </c>
      <c r="E74" s="3" t="str">
        <f>"1998-04-03"</f>
        <v>1998-04-03</v>
      </c>
    </row>
    <row r="75" spans="1:5" s="4" customFormat="1" ht="18" customHeight="1">
      <c r="A75" s="3" t="str">
        <f>"21342019072710075094419"</f>
        <v>21342019072710075094419</v>
      </c>
      <c r="B75" s="3" t="s">
        <v>6</v>
      </c>
      <c r="C75" s="3" t="str">
        <f>"方惠雪"</f>
        <v>方惠雪</v>
      </c>
      <c r="D75" s="3" t="str">
        <f t="shared" si="1"/>
        <v>女</v>
      </c>
      <c r="E75" s="3" t="str">
        <f>"1994-10-22"</f>
        <v>1994-10-22</v>
      </c>
    </row>
    <row r="76" spans="1:5" s="4" customFormat="1" ht="18" customHeight="1">
      <c r="A76" s="3" t="str">
        <f>"21342019072710085694422"</f>
        <v>21342019072710085694422</v>
      </c>
      <c r="B76" s="3" t="s">
        <v>6</v>
      </c>
      <c r="C76" s="3" t="str">
        <f>"吴秋香"</f>
        <v>吴秋香</v>
      </c>
      <c r="D76" s="3" t="str">
        <f t="shared" si="1"/>
        <v>女</v>
      </c>
      <c r="E76" s="3" t="str">
        <f>"1992-09-10"</f>
        <v>1992-09-10</v>
      </c>
    </row>
    <row r="77" spans="1:5" s="4" customFormat="1" ht="18" customHeight="1">
      <c r="A77" s="3" t="str">
        <f>"21342019072710085794423"</f>
        <v>21342019072710085794423</v>
      </c>
      <c r="B77" s="3" t="s">
        <v>6</v>
      </c>
      <c r="C77" s="3" t="str">
        <f>"许欢欢"</f>
        <v>许欢欢</v>
      </c>
      <c r="D77" s="3" t="str">
        <f t="shared" si="1"/>
        <v>女</v>
      </c>
      <c r="E77" s="3" t="str">
        <f>"1996-03-30"</f>
        <v>1996-03-30</v>
      </c>
    </row>
    <row r="78" spans="1:5" s="4" customFormat="1" ht="18" customHeight="1">
      <c r="A78" s="3" t="str">
        <f>"21342019072710111594427"</f>
        <v>21342019072710111594427</v>
      </c>
      <c r="B78" s="3" t="s">
        <v>6</v>
      </c>
      <c r="C78" s="3" t="str">
        <f>"符宁宁"</f>
        <v>符宁宁</v>
      </c>
      <c r="D78" s="3" t="str">
        <f t="shared" si="1"/>
        <v>女</v>
      </c>
      <c r="E78" s="3" t="str">
        <f>"1995-05-15"</f>
        <v>1995-05-15</v>
      </c>
    </row>
    <row r="79" spans="1:5" s="4" customFormat="1" ht="18" customHeight="1">
      <c r="A79" s="3" t="str">
        <f>"21342019072710112494428"</f>
        <v>21342019072710112494428</v>
      </c>
      <c r="B79" s="3" t="s">
        <v>6</v>
      </c>
      <c r="C79" s="3" t="str">
        <f>"陈海联"</f>
        <v>陈海联</v>
      </c>
      <c r="D79" s="3" t="str">
        <f t="shared" si="1"/>
        <v>女</v>
      </c>
      <c r="E79" s="3" t="str">
        <f>"1996-02-04"</f>
        <v>1996-02-04</v>
      </c>
    </row>
    <row r="80" spans="1:5" s="4" customFormat="1" ht="18" customHeight="1">
      <c r="A80" s="3" t="str">
        <f>"21342019072710113494430"</f>
        <v>21342019072710113494430</v>
      </c>
      <c r="B80" s="3" t="s">
        <v>6</v>
      </c>
      <c r="C80" s="3" t="str">
        <f>"何春玲"</f>
        <v>何春玲</v>
      </c>
      <c r="D80" s="3" t="str">
        <f t="shared" si="1"/>
        <v>女</v>
      </c>
      <c r="E80" s="3" t="str">
        <f>"1994-11-28"</f>
        <v>1994-11-28</v>
      </c>
    </row>
    <row r="81" spans="1:5" s="4" customFormat="1" ht="18" customHeight="1">
      <c r="A81" s="3" t="str">
        <f>"21342019072710120994431"</f>
        <v>21342019072710120994431</v>
      </c>
      <c r="B81" s="3" t="s">
        <v>6</v>
      </c>
      <c r="C81" s="3" t="str">
        <f>"吴金妹"</f>
        <v>吴金妹</v>
      </c>
      <c r="D81" s="3" t="str">
        <f t="shared" si="1"/>
        <v>女</v>
      </c>
      <c r="E81" s="3" t="str">
        <f>"1995-06-11"</f>
        <v>1995-06-11</v>
      </c>
    </row>
    <row r="82" spans="1:5" s="4" customFormat="1" ht="18" customHeight="1">
      <c r="A82" s="3" t="str">
        <f>"21342019072710140594433"</f>
        <v>21342019072710140594433</v>
      </c>
      <c r="B82" s="3" t="s">
        <v>6</v>
      </c>
      <c r="C82" s="3" t="str">
        <f>"符玉连"</f>
        <v>符玉连</v>
      </c>
      <c r="D82" s="3" t="str">
        <f t="shared" si="1"/>
        <v>女</v>
      </c>
      <c r="E82" s="3" t="str">
        <f>"1991-12-30"</f>
        <v>1991-12-30</v>
      </c>
    </row>
    <row r="83" spans="1:5" s="4" customFormat="1" ht="18" customHeight="1">
      <c r="A83" s="3" t="str">
        <f>"21342019072710141094434"</f>
        <v>21342019072710141094434</v>
      </c>
      <c r="B83" s="3" t="s">
        <v>6</v>
      </c>
      <c r="C83" s="3" t="str">
        <f>"蔡文琪"</f>
        <v>蔡文琪</v>
      </c>
      <c r="D83" s="3" t="str">
        <f t="shared" si="1"/>
        <v>女</v>
      </c>
      <c r="E83" s="3" t="str">
        <f>"1996-01-21"</f>
        <v>1996-01-21</v>
      </c>
    </row>
    <row r="84" spans="1:5" s="4" customFormat="1" ht="18" customHeight="1">
      <c r="A84" s="3" t="str">
        <f>"21342019072710142594435"</f>
        <v>21342019072710142594435</v>
      </c>
      <c r="B84" s="3" t="s">
        <v>6</v>
      </c>
      <c r="C84" s="3" t="str">
        <f>"李暖暖"</f>
        <v>李暖暖</v>
      </c>
      <c r="D84" s="3" t="str">
        <f t="shared" si="1"/>
        <v>女</v>
      </c>
      <c r="E84" s="3" t="str">
        <f>"1995-05-05"</f>
        <v>1995-05-05</v>
      </c>
    </row>
    <row r="85" spans="1:5" s="4" customFormat="1" ht="18" customHeight="1">
      <c r="A85" s="3" t="str">
        <f>"21342019072710153994436"</f>
        <v>21342019072710153994436</v>
      </c>
      <c r="B85" s="3" t="s">
        <v>6</v>
      </c>
      <c r="C85" s="3" t="str">
        <f>"李浩萍"</f>
        <v>李浩萍</v>
      </c>
      <c r="D85" s="3" t="str">
        <f t="shared" si="1"/>
        <v>女</v>
      </c>
      <c r="E85" s="3" t="str">
        <f>"1997-02-08"</f>
        <v>1997-02-08</v>
      </c>
    </row>
    <row r="86" spans="1:5" s="4" customFormat="1" ht="18" customHeight="1">
      <c r="A86" s="3" t="str">
        <f>"21342019072710161494437"</f>
        <v>21342019072710161494437</v>
      </c>
      <c r="B86" s="3" t="s">
        <v>6</v>
      </c>
      <c r="C86" s="3" t="str">
        <f>"韩明珊"</f>
        <v>韩明珊</v>
      </c>
      <c r="D86" s="3" t="str">
        <f t="shared" si="1"/>
        <v>女</v>
      </c>
      <c r="E86" s="3" t="str">
        <f>"1995-12-08"</f>
        <v>1995-12-08</v>
      </c>
    </row>
    <row r="87" spans="1:5" s="4" customFormat="1" ht="18" customHeight="1">
      <c r="A87" s="3" t="str">
        <f>"21342019072710184394440"</f>
        <v>21342019072710184394440</v>
      </c>
      <c r="B87" s="3" t="s">
        <v>6</v>
      </c>
      <c r="C87" s="3" t="str">
        <f>"王燕妹"</f>
        <v>王燕妹</v>
      </c>
      <c r="D87" s="3" t="str">
        <f t="shared" si="1"/>
        <v>女</v>
      </c>
      <c r="E87" s="3" t="str">
        <f>"1994-01-28"</f>
        <v>1994-01-28</v>
      </c>
    </row>
    <row r="88" spans="1:5" s="4" customFormat="1" ht="18" customHeight="1">
      <c r="A88" s="3" t="str">
        <f>"21342019072710194494441"</f>
        <v>21342019072710194494441</v>
      </c>
      <c r="B88" s="3" t="s">
        <v>6</v>
      </c>
      <c r="C88" s="3" t="str">
        <f>"谢晶晶"</f>
        <v>谢晶晶</v>
      </c>
      <c r="D88" s="3" t="str">
        <f t="shared" si="1"/>
        <v>女</v>
      </c>
      <c r="E88" s="3" t="str">
        <f>"1990-05-20"</f>
        <v>1990-05-20</v>
      </c>
    </row>
    <row r="89" spans="1:5" s="4" customFormat="1" ht="18" customHeight="1">
      <c r="A89" s="3" t="str">
        <f>"21342019072710204494443"</f>
        <v>21342019072710204494443</v>
      </c>
      <c r="B89" s="3" t="s">
        <v>6</v>
      </c>
      <c r="C89" s="3" t="str">
        <f>"黄慧"</f>
        <v>黄慧</v>
      </c>
      <c r="D89" s="3" t="str">
        <f t="shared" si="1"/>
        <v>女</v>
      </c>
      <c r="E89" s="3" t="str">
        <f>"1993-08-06"</f>
        <v>1993-08-06</v>
      </c>
    </row>
    <row r="90" spans="1:5" s="4" customFormat="1" ht="18" customHeight="1">
      <c r="A90" s="3" t="str">
        <f>"21342019072710215094444"</f>
        <v>21342019072710215094444</v>
      </c>
      <c r="B90" s="3" t="s">
        <v>6</v>
      </c>
      <c r="C90" s="3" t="str">
        <f>"陈怡君"</f>
        <v>陈怡君</v>
      </c>
      <c r="D90" s="3" t="str">
        <f t="shared" si="1"/>
        <v>女</v>
      </c>
      <c r="E90" s="3" t="str">
        <f>"1995-04-28"</f>
        <v>1995-04-28</v>
      </c>
    </row>
    <row r="91" spans="1:5" s="4" customFormat="1" ht="18" customHeight="1">
      <c r="A91" s="3" t="str">
        <f>"21342019072710220094445"</f>
        <v>21342019072710220094445</v>
      </c>
      <c r="B91" s="3" t="s">
        <v>6</v>
      </c>
      <c r="C91" s="3" t="str">
        <f>"吴亚妹"</f>
        <v>吴亚妹</v>
      </c>
      <c r="D91" s="3" t="str">
        <f t="shared" si="1"/>
        <v>女</v>
      </c>
      <c r="E91" s="3" t="str">
        <f>"1995-02-16"</f>
        <v>1995-02-16</v>
      </c>
    </row>
    <row r="92" spans="1:5" s="4" customFormat="1" ht="18" customHeight="1">
      <c r="A92" s="3" t="str">
        <f>"21342019072710220194446"</f>
        <v>21342019072710220194446</v>
      </c>
      <c r="B92" s="3" t="s">
        <v>6</v>
      </c>
      <c r="C92" s="3" t="str">
        <f>"李莹莹"</f>
        <v>李莹莹</v>
      </c>
      <c r="D92" s="3" t="str">
        <f t="shared" si="1"/>
        <v>女</v>
      </c>
      <c r="E92" s="3" t="str">
        <f>"1995-12-21"</f>
        <v>1995-12-21</v>
      </c>
    </row>
    <row r="93" spans="1:5" s="4" customFormat="1" ht="18" customHeight="1">
      <c r="A93" s="3" t="str">
        <f>"21342019072710233594448"</f>
        <v>21342019072710233594448</v>
      </c>
      <c r="B93" s="3" t="s">
        <v>6</v>
      </c>
      <c r="C93" s="3" t="str">
        <f>"何丹枝"</f>
        <v>何丹枝</v>
      </c>
      <c r="D93" s="3" t="str">
        <f t="shared" si="1"/>
        <v>女</v>
      </c>
      <c r="E93" s="3" t="str">
        <f>"1996-06-23"</f>
        <v>1996-06-23</v>
      </c>
    </row>
    <row r="94" spans="1:5" s="4" customFormat="1" ht="18" customHeight="1">
      <c r="A94" s="3" t="str">
        <f>"21342019072710234194449"</f>
        <v>21342019072710234194449</v>
      </c>
      <c r="B94" s="3" t="s">
        <v>6</v>
      </c>
      <c r="C94" s="3" t="str">
        <f>"符瑶灵"</f>
        <v>符瑶灵</v>
      </c>
      <c r="D94" s="3" t="str">
        <f t="shared" si="1"/>
        <v>女</v>
      </c>
      <c r="E94" s="3" t="str">
        <f>"1998-10-06"</f>
        <v>1998-10-06</v>
      </c>
    </row>
    <row r="95" spans="1:5" s="4" customFormat="1" ht="18" customHeight="1">
      <c r="A95" s="3" t="str">
        <f>"21342019072710251194451"</f>
        <v>21342019072710251194451</v>
      </c>
      <c r="B95" s="3" t="s">
        <v>6</v>
      </c>
      <c r="C95" s="3" t="str">
        <f>"李君"</f>
        <v>李君</v>
      </c>
      <c r="D95" s="3" t="str">
        <f t="shared" si="1"/>
        <v>女</v>
      </c>
      <c r="E95" s="3" t="str">
        <f>"1997-11-21"</f>
        <v>1997-11-21</v>
      </c>
    </row>
    <row r="96" spans="1:5" s="4" customFormat="1" ht="18" customHeight="1">
      <c r="A96" s="3" t="str">
        <f>"21342019072710251294452"</f>
        <v>21342019072710251294452</v>
      </c>
      <c r="B96" s="3" t="s">
        <v>6</v>
      </c>
      <c r="C96" s="3" t="str">
        <f>"陈莲芬"</f>
        <v>陈莲芬</v>
      </c>
      <c r="D96" s="3" t="str">
        <f t="shared" si="1"/>
        <v>女</v>
      </c>
      <c r="E96" s="3" t="str">
        <f>"1993-04-22"</f>
        <v>1993-04-22</v>
      </c>
    </row>
    <row r="97" spans="1:5" s="4" customFormat="1" ht="18" customHeight="1">
      <c r="A97" s="3" t="str">
        <f>"21342019072710260594453"</f>
        <v>21342019072710260594453</v>
      </c>
      <c r="B97" s="3" t="s">
        <v>6</v>
      </c>
      <c r="C97" s="3" t="str">
        <f>"陈琼丽"</f>
        <v>陈琼丽</v>
      </c>
      <c r="D97" s="3" t="str">
        <f t="shared" si="1"/>
        <v>女</v>
      </c>
      <c r="E97" s="3" t="str">
        <f>"1991-08-13"</f>
        <v>1991-08-13</v>
      </c>
    </row>
    <row r="98" spans="1:5" s="4" customFormat="1" ht="18" customHeight="1">
      <c r="A98" s="3" t="str">
        <f>"21342019072710262094455"</f>
        <v>21342019072710262094455</v>
      </c>
      <c r="B98" s="3" t="s">
        <v>6</v>
      </c>
      <c r="C98" s="3" t="str">
        <f>"王春江"</f>
        <v>王春江</v>
      </c>
      <c r="D98" s="3" t="str">
        <f t="shared" si="1"/>
        <v>女</v>
      </c>
      <c r="E98" s="3" t="str">
        <f>"1990-03-02"</f>
        <v>1990-03-02</v>
      </c>
    </row>
    <row r="99" spans="1:5" s="4" customFormat="1" ht="18" customHeight="1">
      <c r="A99" s="3" t="str">
        <f>"21342019072710272994457"</f>
        <v>21342019072710272994457</v>
      </c>
      <c r="B99" s="3" t="s">
        <v>6</v>
      </c>
      <c r="C99" s="3" t="str">
        <f>"孙榕茸"</f>
        <v>孙榕茸</v>
      </c>
      <c r="D99" s="3" t="str">
        <f t="shared" si="1"/>
        <v>女</v>
      </c>
      <c r="E99" s="3" t="str">
        <f>"1998-09-10"</f>
        <v>1998-09-10</v>
      </c>
    </row>
    <row r="100" spans="1:5" s="4" customFormat="1" ht="18" customHeight="1">
      <c r="A100" s="3" t="str">
        <f>"21342019072710282194459"</f>
        <v>21342019072710282194459</v>
      </c>
      <c r="B100" s="3" t="s">
        <v>6</v>
      </c>
      <c r="C100" s="3" t="str">
        <f>"肖孝美"</f>
        <v>肖孝美</v>
      </c>
      <c r="D100" s="3" t="str">
        <f t="shared" si="1"/>
        <v>女</v>
      </c>
      <c r="E100" s="3" t="str">
        <f>"1994-05-16"</f>
        <v>1994-05-16</v>
      </c>
    </row>
    <row r="101" spans="1:5" s="4" customFormat="1" ht="18" customHeight="1">
      <c r="A101" s="3" t="str">
        <f>"21342019072710283394460"</f>
        <v>21342019072710283394460</v>
      </c>
      <c r="B101" s="3" t="s">
        <v>6</v>
      </c>
      <c r="C101" s="3" t="str">
        <f>"何洁仪"</f>
        <v>何洁仪</v>
      </c>
      <c r="D101" s="3" t="str">
        <f t="shared" si="1"/>
        <v>女</v>
      </c>
      <c r="E101" s="3" t="str">
        <f>"1991-05-11"</f>
        <v>1991-05-11</v>
      </c>
    </row>
    <row r="102" spans="1:5" s="4" customFormat="1" ht="18" customHeight="1">
      <c r="A102" s="3" t="str">
        <f>"21342019072710285494461"</f>
        <v>21342019072710285494461</v>
      </c>
      <c r="B102" s="3" t="s">
        <v>6</v>
      </c>
      <c r="C102" s="3" t="str">
        <f>"王天倩"</f>
        <v>王天倩</v>
      </c>
      <c r="D102" s="3" t="str">
        <f t="shared" si="1"/>
        <v>女</v>
      </c>
      <c r="E102" s="3" t="str">
        <f>"1996-01-17"</f>
        <v>1996-01-17</v>
      </c>
    </row>
    <row r="103" spans="1:5" s="4" customFormat="1" ht="18" customHeight="1">
      <c r="A103" s="3" t="str">
        <f>"21342019072710294694462"</f>
        <v>21342019072710294694462</v>
      </c>
      <c r="B103" s="3" t="s">
        <v>6</v>
      </c>
      <c r="C103" s="3" t="str">
        <f>"王丹丹"</f>
        <v>王丹丹</v>
      </c>
      <c r="D103" s="3" t="str">
        <f t="shared" si="1"/>
        <v>女</v>
      </c>
      <c r="E103" s="3" t="str">
        <f>"1994-02-18"</f>
        <v>1994-02-18</v>
      </c>
    </row>
    <row r="104" spans="1:5" s="4" customFormat="1" ht="18" customHeight="1">
      <c r="A104" s="3" t="str">
        <f>"21342019072710300094463"</f>
        <v>21342019072710300094463</v>
      </c>
      <c r="B104" s="3" t="s">
        <v>6</v>
      </c>
      <c r="C104" s="3" t="str">
        <f>"陈慧妹"</f>
        <v>陈慧妹</v>
      </c>
      <c r="D104" s="3" t="str">
        <f t="shared" si="1"/>
        <v>女</v>
      </c>
      <c r="E104" s="3" t="str">
        <f>"1997-06-15"</f>
        <v>1997-06-15</v>
      </c>
    </row>
    <row r="105" spans="1:5" s="4" customFormat="1" ht="18" customHeight="1">
      <c r="A105" s="3" t="str">
        <f>"21342019072710300494464"</f>
        <v>21342019072710300494464</v>
      </c>
      <c r="B105" s="3" t="s">
        <v>6</v>
      </c>
      <c r="C105" s="3" t="str">
        <f>"梁育优"</f>
        <v>梁育优</v>
      </c>
      <c r="D105" s="3" t="str">
        <f t="shared" si="1"/>
        <v>女</v>
      </c>
      <c r="E105" s="3" t="str">
        <f>"1994-10-15"</f>
        <v>1994-10-15</v>
      </c>
    </row>
    <row r="106" spans="1:5" s="4" customFormat="1" ht="18" customHeight="1">
      <c r="A106" s="3" t="str">
        <f>"21342019072710300694465"</f>
        <v>21342019072710300694465</v>
      </c>
      <c r="B106" s="3" t="s">
        <v>6</v>
      </c>
      <c r="C106" s="3" t="str">
        <f>"林春满"</f>
        <v>林春满</v>
      </c>
      <c r="D106" s="3" t="str">
        <f t="shared" si="1"/>
        <v>女</v>
      </c>
      <c r="E106" s="3" t="str">
        <f>"1991-09-03"</f>
        <v>1991-09-03</v>
      </c>
    </row>
    <row r="107" spans="1:5" s="4" customFormat="1" ht="18" customHeight="1">
      <c r="A107" s="3" t="str">
        <f>"21342019072710310494468"</f>
        <v>21342019072710310494468</v>
      </c>
      <c r="B107" s="3" t="s">
        <v>6</v>
      </c>
      <c r="C107" s="3" t="str">
        <f>"谢丽娇"</f>
        <v>谢丽娇</v>
      </c>
      <c r="D107" s="3" t="str">
        <f t="shared" si="1"/>
        <v>女</v>
      </c>
      <c r="E107" s="3" t="str">
        <f>"1990-05-07"</f>
        <v>1990-05-07</v>
      </c>
    </row>
    <row r="108" spans="1:5" s="4" customFormat="1" ht="18" customHeight="1">
      <c r="A108" s="3" t="str">
        <f>"21342019072710325694473"</f>
        <v>21342019072710325694473</v>
      </c>
      <c r="B108" s="3" t="s">
        <v>6</v>
      </c>
      <c r="C108" s="3" t="str">
        <f>"张新玲"</f>
        <v>张新玲</v>
      </c>
      <c r="D108" s="3" t="str">
        <f t="shared" si="1"/>
        <v>女</v>
      </c>
      <c r="E108" s="3" t="str">
        <f>"1995-12-19"</f>
        <v>1995-12-19</v>
      </c>
    </row>
    <row r="109" spans="1:5" s="4" customFormat="1" ht="18" customHeight="1">
      <c r="A109" s="3" t="str">
        <f>"21342019072710333694475"</f>
        <v>21342019072710333694475</v>
      </c>
      <c r="B109" s="3" t="s">
        <v>6</v>
      </c>
      <c r="C109" s="3" t="str">
        <f>"王梦妮"</f>
        <v>王梦妮</v>
      </c>
      <c r="D109" s="3" t="str">
        <f t="shared" si="1"/>
        <v>女</v>
      </c>
      <c r="E109" s="3" t="str">
        <f>"1996-09-24"</f>
        <v>1996-09-24</v>
      </c>
    </row>
    <row r="110" spans="1:5" s="4" customFormat="1" ht="18" customHeight="1">
      <c r="A110" s="3" t="str">
        <f>"21342019072710333994476"</f>
        <v>21342019072710333994476</v>
      </c>
      <c r="B110" s="3" t="s">
        <v>6</v>
      </c>
      <c r="C110" s="3" t="str">
        <f>"冯雪银"</f>
        <v>冯雪银</v>
      </c>
      <c r="D110" s="3" t="str">
        <f t="shared" si="1"/>
        <v>女</v>
      </c>
      <c r="E110" s="3" t="str">
        <f>"1996-05-25"</f>
        <v>1996-05-25</v>
      </c>
    </row>
    <row r="111" spans="1:5" s="4" customFormat="1" ht="18" customHeight="1">
      <c r="A111" s="3" t="str">
        <f>"21342019072710334694477"</f>
        <v>21342019072710334694477</v>
      </c>
      <c r="B111" s="3" t="s">
        <v>6</v>
      </c>
      <c r="C111" s="3" t="str">
        <f>"吴清梅"</f>
        <v>吴清梅</v>
      </c>
      <c r="D111" s="3" t="str">
        <f t="shared" si="1"/>
        <v>女</v>
      </c>
      <c r="E111" s="3" t="str">
        <f>"1994-02-16"</f>
        <v>1994-02-16</v>
      </c>
    </row>
    <row r="112" spans="1:5" s="4" customFormat="1" ht="18" customHeight="1">
      <c r="A112" s="3" t="str">
        <f>"21342019072710362894478"</f>
        <v>21342019072710362894478</v>
      </c>
      <c r="B112" s="3" t="s">
        <v>6</v>
      </c>
      <c r="C112" s="3" t="str">
        <f>"吉小颖"</f>
        <v>吉小颖</v>
      </c>
      <c r="D112" s="3" t="str">
        <f t="shared" si="1"/>
        <v>女</v>
      </c>
      <c r="E112" s="3" t="str">
        <f>"1993-09-02"</f>
        <v>1993-09-02</v>
      </c>
    </row>
    <row r="113" spans="1:5" s="4" customFormat="1" ht="18" customHeight="1">
      <c r="A113" s="3" t="str">
        <f>"21342019072710373694482"</f>
        <v>21342019072710373694482</v>
      </c>
      <c r="B113" s="3" t="s">
        <v>6</v>
      </c>
      <c r="C113" s="3" t="str">
        <f>"张宽彩"</f>
        <v>张宽彩</v>
      </c>
      <c r="D113" s="3" t="str">
        <f t="shared" si="1"/>
        <v>女</v>
      </c>
      <c r="E113" s="3" t="str">
        <f>"1993-02-22"</f>
        <v>1993-02-22</v>
      </c>
    </row>
    <row r="114" spans="1:5" s="4" customFormat="1" ht="18" customHeight="1">
      <c r="A114" s="3" t="str">
        <f>"21342019072710374294483"</f>
        <v>21342019072710374294483</v>
      </c>
      <c r="B114" s="3" t="s">
        <v>6</v>
      </c>
      <c r="C114" s="3" t="str">
        <f>"黄秋燕"</f>
        <v>黄秋燕</v>
      </c>
      <c r="D114" s="3" t="str">
        <f t="shared" si="1"/>
        <v>女</v>
      </c>
      <c r="E114" s="3" t="str">
        <f>"1994-10-18"</f>
        <v>1994-10-18</v>
      </c>
    </row>
    <row r="115" spans="1:5" s="4" customFormat="1" ht="18" customHeight="1">
      <c r="A115" s="3" t="str">
        <f>"21342019072710374294484"</f>
        <v>21342019072710374294484</v>
      </c>
      <c r="B115" s="3" t="s">
        <v>6</v>
      </c>
      <c r="C115" s="3" t="str">
        <f>"王茜"</f>
        <v>王茜</v>
      </c>
      <c r="D115" s="3" t="str">
        <f t="shared" si="1"/>
        <v>女</v>
      </c>
      <c r="E115" s="3" t="str">
        <f>"1997-04-04"</f>
        <v>1997-04-04</v>
      </c>
    </row>
    <row r="116" spans="1:5" s="4" customFormat="1" ht="18" customHeight="1">
      <c r="A116" s="3" t="str">
        <f>"21342019072710374594485"</f>
        <v>21342019072710374594485</v>
      </c>
      <c r="B116" s="3" t="s">
        <v>6</v>
      </c>
      <c r="C116" s="3" t="str">
        <f>"罗萍"</f>
        <v>罗萍</v>
      </c>
      <c r="D116" s="3" t="str">
        <f t="shared" si="1"/>
        <v>女</v>
      </c>
      <c r="E116" s="3" t="str">
        <f>"1990-04-05"</f>
        <v>1990-04-05</v>
      </c>
    </row>
    <row r="117" spans="1:5" s="4" customFormat="1" ht="18" customHeight="1">
      <c r="A117" s="3" t="str">
        <f>"21342019072710380794486"</f>
        <v>21342019072710380794486</v>
      </c>
      <c r="B117" s="3" t="s">
        <v>6</v>
      </c>
      <c r="C117" s="3" t="str">
        <f>"李婷"</f>
        <v>李婷</v>
      </c>
      <c r="D117" s="3" t="str">
        <f t="shared" si="1"/>
        <v>女</v>
      </c>
      <c r="E117" s="3" t="str">
        <f>"1994-06-06"</f>
        <v>1994-06-06</v>
      </c>
    </row>
    <row r="118" spans="1:5" s="4" customFormat="1" ht="18" customHeight="1">
      <c r="A118" s="3" t="str">
        <f>"21342019072710380794487"</f>
        <v>21342019072710380794487</v>
      </c>
      <c r="B118" s="3" t="s">
        <v>6</v>
      </c>
      <c r="C118" s="3" t="str">
        <f>"潘玉媚"</f>
        <v>潘玉媚</v>
      </c>
      <c r="D118" s="3" t="str">
        <f t="shared" si="1"/>
        <v>女</v>
      </c>
      <c r="E118" s="3" t="str">
        <f>"1993-11-07"</f>
        <v>1993-11-07</v>
      </c>
    </row>
    <row r="119" spans="1:5" s="4" customFormat="1" ht="18" customHeight="1">
      <c r="A119" s="3" t="str">
        <f>"21342019072710390594489"</f>
        <v>21342019072710390594489</v>
      </c>
      <c r="B119" s="3" t="s">
        <v>6</v>
      </c>
      <c r="C119" s="3" t="str">
        <f>"陈如"</f>
        <v>陈如</v>
      </c>
      <c r="D119" s="3" t="str">
        <f t="shared" si="1"/>
        <v>女</v>
      </c>
      <c r="E119" s="3" t="str">
        <f>"1996-07-01"</f>
        <v>1996-07-01</v>
      </c>
    </row>
    <row r="120" spans="1:5" s="4" customFormat="1" ht="18" customHeight="1">
      <c r="A120" s="3" t="str">
        <f>"21342019072710410694491"</f>
        <v>21342019072710410694491</v>
      </c>
      <c r="B120" s="3" t="s">
        <v>6</v>
      </c>
      <c r="C120" s="3" t="str">
        <f>"黄青梅"</f>
        <v>黄青梅</v>
      </c>
      <c r="D120" s="3" t="str">
        <f t="shared" si="1"/>
        <v>女</v>
      </c>
      <c r="E120" s="3" t="str">
        <f>"1996-07-21"</f>
        <v>1996-07-21</v>
      </c>
    </row>
    <row r="121" spans="1:5" s="4" customFormat="1" ht="18" customHeight="1">
      <c r="A121" s="3" t="str">
        <f>"21342019072710415794493"</f>
        <v>21342019072710415794493</v>
      </c>
      <c r="B121" s="3" t="s">
        <v>6</v>
      </c>
      <c r="C121" s="3" t="str">
        <f>"王梦蝶"</f>
        <v>王梦蝶</v>
      </c>
      <c r="D121" s="3" t="str">
        <f t="shared" si="1"/>
        <v>女</v>
      </c>
      <c r="E121" s="3" t="str">
        <f>"1996-12-23"</f>
        <v>1996-12-23</v>
      </c>
    </row>
    <row r="122" spans="1:5" s="4" customFormat="1" ht="18" customHeight="1">
      <c r="A122" s="3" t="str">
        <f>"21342019072710431594494"</f>
        <v>21342019072710431594494</v>
      </c>
      <c r="B122" s="3" t="s">
        <v>6</v>
      </c>
      <c r="C122" s="3" t="str">
        <f>"陈嘉慧"</f>
        <v>陈嘉慧</v>
      </c>
      <c r="D122" s="3" t="str">
        <f t="shared" si="1"/>
        <v>女</v>
      </c>
      <c r="E122" s="3" t="str">
        <f>"1996-10-27"</f>
        <v>1996-10-27</v>
      </c>
    </row>
    <row r="123" spans="1:5" s="4" customFormat="1" ht="18" customHeight="1">
      <c r="A123" s="3" t="str">
        <f>"21342019072710471894501"</f>
        <v>21342019072710471894501</v>
      </c>
      <c r="B123" s="3" t="s">
        <v>6</v>
      </c>
      <c r="C123" s="3" t="str">
        <f>"陈秀霞"</f>
        <v>陈秀霞</v>
      </c>
      <c r="D123" s="3" t="str">
        <f t="shared" si="1"/>
        <v>女</v>
      </c>
      <c r="E123" s="3" t="str">
        <f>"1995-09-30"</f>
        <v>1995-09-30</v>
      </c>
    </row>
    <row r="124" spans="1:5" s="4" customFormat="1" ht="18" customHeight="1">
      <c r="A124" s="3" t="str">
        <f>"21342019072710481194503"</f>
        <v>21342019072710481194503</v>
      </c>
      <c r="B124" s="3" t="s">
        <v>6</v>
      </c>
      <c r="C124" s="3" t="str">
        <f>"周斯秀"</f>
        <v>周斯秀</v>
      </c>
      <c r="D124" s="3" t="str">
        <f t="shared" si="1"/>
        <v>女</v>
      </c>
      <c r="E124" s="3" t="str">
        <f>"1997-10-05"</f>
        <v>1997-10-05</v>
      </c>
    </row>
    <row r="125" spans="1:5" s="4" customFormat="1" ht="18" customHeight="1">
      <c r="A125" s="3" t="str">
        <f>"21342019072710484794505"</f>
        <v>21342019072710484794505</v>
      </c>
      <c r="B125" s="3" t="s">
        <v>6</v>
      </c>
      <c r="C125" s="3" t="str">
        <f>"陈小丽"</f>
        <v>陈小丽</v>
      </c>
      <c r="D125" s="3" t="str">
        <f t="shared" si="1"/>
        <v>女</v>
      </c>
      <c r="E125" s="3" t="str">
        <f>"1991-12-03"</f>
        <v>1991-12-03</v>
      </c>
    </row>
    <row r="126" spans="1:5" s="4" customFormat="1" ht="18" customHeight="1">
      <c r="A126" s="3" t="str">
        <f>"21342019072710490194506"</f>
        <v>21342019072710490194506</v>
      </c>
      <c r="B126" s="3" t="s">
        <v>6</v>
      </c>
      <c r="C126" s="3" t="str">
        <f>"符琼艳"</f>
        <v>符琼艳</v>
      </c>
      <c r="D126" s="3" t="str">
        <f t="shared" si="1"/>
        <v>女</v>
      </c>
      <c r="E126" s="3" t="str">
        <f>"1995-07-08"</f>
        <v>1995-07-08</v>
      </c>
    </row>
    <row r="127" spans="1:5" s="4" customFormat="1" ht="18" customHeight="1">
      <c r="A127" s="3" t="str">
        <f>"21342019072710492394507"</f>
        <v>21342019072710492394507</v>
      </c>
      <c r="B127" s="3" t="s">
        <v>6</v>
      </c>
      <c r="C127" s="3" t="str">
        <f>"卢惠波"</f>
        <v>卢惠波</v>
      </c>
      <c r="D127" s="3" t="str">
        <f t="shared" si="1"/>
        <v>女</v>
      </c>
      <c r="E127" s="3" t="str">
        <f>"1991-07-29"</f>
        <v>1991-07-29</v>
      </c>
    </row>
    <row r="128" spans="1:5" s="4" customFormat="1" ht="18" customHeight="1">
      <c r="A128" s="3" t="str">
        <f>"21342019072710493794508"</f>
        <v>21342019072710493794508</v>
      </c>
      <c r="B128" s="3" t="s">
        <v>6</v>
      </c>
      <c r="C128" s="3" t="str">
        <f>"李霞丹"</f>
        <v>李霞丹</v>
      </c>
      <c r="D128" s="3" t="str">
        <f t="shared" si="1"/>
        <v>女</v>
      </c>
      <c r="E128" s="3" t="str">
        <f>"1993-10-05"</f>
        <v>1993-10-05</v>
      </c>
    </row>
    <row r="129" spans="1:5" s="4" customFormat="1" ht="18" customHeight="1">
      <c r="A129" s="3" t="str">
        <f>"21342019072710503894511"</f>
        <v>21342019072710503894511</v>
      </c>
      <c r="B129" s="3" t="s">
        <v>6</v>
      </c>
      <c r="C129" s="3" t="str">
        <f>"陈寒冬"</f>
        <v>陈寒冬</v>
      </c>
      <c r="D129" s="3" t="str">
        <f t="shared" si="1"/>
        <v>女</v>
      </c>
      <c r="E129" s="3" t="str">
        <f>"1989-12-25"</f>
        <v>1989-12-25</v>
      </c>
    </row>
    <row r="130" spans="1:5" s="4" customFormat="1" ht="18" customHeight="1">
      <c r="A130" s="3" t="str">
        <f>"21342019072710504594512"</f>
        <v>21342019072710504594512</v>
      </c>
      <c r="B130" s="3" t="s">
        <v>6</v>
      </c>
      <c r="C130" s="3" t="str">
        <f>"林虹余"</f>
        <v>林虹余</v>
      </c>
      <c r="D130" s="3" t="str">
        <f t="shared" si="1"/>
        <v>女</v>
      </c>
      <c r="E130" s="3" t="str">
        <f>"1990-11-28"</f>
        <v>1990-11-28</v>
      </c>
    </row>
    <row r="131" spans="1:5" s="4" customFormat="1" ht="18" customHeight="1">
      <c r="A131" s="3" t="str">
        <f>"21342019072710512694514"</f>
        <v>21342019072710512694514</v>
      </c>
      <c r="B131" s="3" t="s">
        <v>6</v>
      </c>
      <c r="C131" s="3" t="str">
        <f>"张榕方"</f>
        <v>张榕方</v>
      </c>
      <c r="D131" s="3" t="str">
        <f aca="true" t="shared" si="2" ref="D131:D194">"女"</f>
        <v>女</v>
      </c>
      <c r="E131" s="3" t="str">
        <f>"1998-08-12"</f>
        <v>1998-08-12</v>
      </c>
    </row>
    <row r="132" spans="1:5" s="4" customFormat="1" ht="18" customHeight="1">
      <c r="A132" s="3" t="str">
        <f>"21342019072710524294516"</f>
        <v>21342019072710524294516</v>
      </c>
      <c r="B132" s="3" t="s">
        <v>6</v>
      </c>
      <c r="C132" s="3" t="str">
        <f>"欧家倩"</f>
        <v>欧家倩</v>
      </c>
      <c r="D132" s="3" t="str">
        <f t="shared" si="2"/>
        <v>女</v>
      </c>
      <c r="E132" s="3" t="str">
        <f>"1996-09-07"</f>
        <v>1996-09-07</v>
      </c>
    </row>
    <row r="133" spans="1:5" s="4" customFormat="1" ht="18" customHeight="1">
      <c r="A133" s="3" t="str">
        <f>"21342019072710532194517"</f>
        <v>21342019072710532194517</v>
      </c>
      <c r="B133" s="3" t="s">
        <v>6</v>
      </c>
      <c r="C133" s="3" t="str">
        <f>"陈晓绯"</f>
        <v>陈晓绯</v>
      </c>
      <c r="D133" s="3" t="str">
        <f t="shared" si="2"/>
        <v>女</v>
      </c>
      <c r="E133" s="3" t="str">
        <f>"1989-10-07"</f>
        <v>1989-10-07</v>
      </c>
    </row>
    <row r="134" spans="1:5" s="4" customFormat="1" ht="18" customHeight="1">
      <c r="A134" s="3" t="str">
        <f>"21342019072710541594518"</f>
        <v>21342019072710541594518</v>
      </c>
      <c r="B134" s="3" t="s">
        <v>6</v>
      </c>
      <c r="C134" s="3" t="str">
        <f>"钟佳颖"</f>
        <v>钟佳颖</v>
      </c>
      <c r="D134" s="3" t="str">
        <f t="shared" si="2"/>
        <v>女</v>
      </c>
      <c r="E134" s="3" t="str">
        <f>"1994-06-11"</f>
        <v>1994-06-11</v>
      </c>
    </row>
    <row r="135" spans="1:5" s="4" customFormat="1" ht="18" customHeight="1">
      <c r="A135" s="3" t="str">
        <f>"21342019072710545094519"</f>
        <v>21342019072710545094519</v>
      </c>
      <c r="B135" s="3" t="s">
        <v>6</v>
      </c>
      <c r="C135" s="3" t="str">
        <f>"林花"</f>
        <v>林花</v>
      </c>
      <c r="D135" s="3" t="str">
        <f t="shared" si="2"/>
        <v>女</v>
      </c>
      <c r="E135" s="3" t="str">
        <f>"1995-11-10"</f>
        <v>1995-11-10</v>
      </c>
    </row>
    <row r="136" spans="1:5" s="4" customFormat="1" ht="18" customHeight="1">
      <c r="A136" s="3" t="str">
        <f>"21342019072710555494521"</f>
        <v>21342019072710555494521</v>
      </c>
      <c r="B136" s="3" t="s">
        <v>6</v>
      </c>
      <c r="C136" s="3" t="str">
        <f>"邢孔立"</f>
        <v>邢孔立</v>
      </c>
      <c r="D136" s="3" t="str">
        <f t="shared" si="2"/>
        <v>女</v>
      </c>
      <c r="E136" s="3" t="str">
        <f>"1993-11-07"</f>
        <v>1993-11-07</v>
      </c>
    </row>
    <row r="137" spans="1:5" s="4" customFormat="1" ht="18" customHeight="1">
      <c r="A137" s="3" t="str">
        <f>"21342019072710560694522"</f>
        <v>21342019072710560694522</v>
      </c>
      <c r="B137" s="3" t="s">
        <v>6</v>
      </c>
      <c r="C137" s="3" t="str">
        <f>"符小丽"</f>
        <v>符小丽</v>
      </c>
      <c r="D137" s="3" t="str">
        <f t="shared" si="2"/>
        <v>女</v>
      </c>
      <c r="E137" s="3" t="str">
        <f>"1990-06-30"</f>
        <v>1990-06-30</v>
      </c>
    </row>
    <row r="138" spans="1:5" s="4" customFormat="1" ht="18" customHeight="1">
      <c r="A138" s="3" t="str">
        <f>"21342019072710562094525"</f>
        <v>21342019072710562094525</v>
      </c>
      <c r="B138" s="3" t="s">
        <v>6</v>
      </c>
      <c r="C138" s="3" t="str">
        <f>"文瞧"</f>
        <v>文瞧</v>
      </c>
      <c r="D138" s="3" t="str">
        <f t="shared" si="2"/>
        <v>女</v>
      </c>
      <c r="E138" s="3" t="str">
        <f>"1997-07-19"</f>
        <v>1997-07-19</v>
      </c>
    </row>
    <row r="139" spans="1:5" s="4" customFormat="1" ht="18" customHeight="1">
      <c r="A139" s="3" t="str">
        <f>"21342019072710564994526"</f>
        <v>21342019072710564994526</v>
      </c>
      <c r="B139" s="3" t="s">
        <v>6</v>
      </c>
      <c r="C139" s="3" t="str">
        <f>"蔡清妮"</f>
        <v>蔡清妮</v>
      </c>
      <c r="D139" s="3" t="str">
        <f t="shared" si="2"/>
        <v>女</v>
      </c>
      <c r="E139" s="3" t="str">
        <f>"1996-02-19"</f>
        <v>1996-02-19</v>
      </c>
    </row>
    <row r="140" spans="1:5" s="4" customFormat="1" ht="18" customHeight="1">
      <c r="A140" s="3" t="str">
        <f>"21342019072710584594529"</f>
        <v>21342019072710584594529</v>
      </c>
      <c r="B140" s="3" t="s">
        <v>6</v>
      </c>
      <c r="C140" s="3" t="str">
        <f>"王秋和"</f>
        <v>王秋和</v>
      </c>
      <c r="D140" s="3" t="str">
        <f t="shared" si="2"/>
        <v>女</v>
      </c>
      <c r="E140" s="3" t="str">
        <f>"1995-08-15"</f>
        <v>1995-08-15</v>
      </c>
    </row>
    <row r="141" spans="1:5" s="4" customFormat="1" ht="18" customHeight="1">
      <c r="A141" s="3" t="str">
        <f>"21342019072710584794530"</f>
        <v>21342019072710584794530</v>
      </c>
      <c r="B141" s="3" t="s">
        <v>6</v>
      </c>
      <c r="C141" s="3" t="str">
        <f>"吴毓飞"</f>
        <v>吴毓飞</v>
      </c>
      <c r="D141" s="3" t="str">
        <f t="shared" si="2"/>
        <v>女</v>
      </c>
      <c r="E141" s="3" t="str">
        <f>"1993-03-08"</f>
        <v>1993-03-08</v>
      </c>
    </row>
    <row r="142" spans="1:5" s="4" customFormat="1" ht="18" customHeight="1">
      <c r="A142" s="3" t="str">
        <f>"21342019072711004294533"</f>
        <v>21342019072711004294533</v>
      </c>
      <c r="B142" s="3" t="s">
        <v>6</v>
      </c>
      <c r="C142" s="3" t="str">
        <f>"赵秀香"</f>
        <v>赵秀香</v>
      </c>
      <c r="D142" s="3" t="str">
        <f t="shared" si="2"/>
        <v>女</v>
      </c>
      <c r="E142" s="3" t="str">
        <f>"1993-02-15"</f>
        <v>1993-02-15</v>
      </c>
    </row>
    <row r="143" spans="1:5" s="4" customFormat="1" ht="18" customHeight="1">
      <c r="A143" s="3" t="str">
        <f>"21342019072711005094534"</f>
        <v>21342019072711005094534</v>
      </c>
      <c r="B143" s="3" t="s">
        <v>6</v>
      </c>
      <c r="C143" s="3" t="str">
        <f>"杨晓嫔"</f>
        <v>杨晓嫔</v>
      </c>
      <c r="D143" s="3" t="str">
        <f t="shared" si="2"/>
        <v>女</v>
      </c>
      <c r="E143" s="3" t="str">
        <f>"1989-12-03"</f>
        <v>1989-12-03</v>
      </c>
    </row>
    <row r="144" spans="1:5" s="4" customFormat="1" ht="18" customHeight="1">
      <c r="A144" s="3" t="str">
        <f>"21342019072711012594535"</f>
        <v>21342019072711012594535</v>
      </c>
      <c r="B144" s="3" t="s">
        <v>6</v>
      </c>
      <c r="C144" s="3" t="str">
        <f>"苏丽玲"</f>
        <v>苏丽玲</v>
      </c>
      <c r="D144" s="3" t="str">
        <f t="shared" si="2"/>
        <v>女</v>
      </c>
      <c r="E144" s="3" t="str">
        <f>"1998-05-22"</f>
        <v>1998-05-22</v>
      </c>
    </row>
    <row r="145" spans="1:5" s="4" customFormat="1" ht="18" customHeight="1">
      <c r="A145" s="3" t="str">
        <f>"21342019072711013994536"</f>
        <v>21342019072711013994536</v>
      </c>
      <c r="B145" s="3" t="s">
        <v>6</v>
      </c>
      <c r="C145" s="3" t="str">
        <f>"韦梅"</f>
        <v>韦梅</v>
      </c>
      <c r="D145" s="3" t="str">
        <f t="shared" si="2"/>
        <v>女</v>
      </c>
      <c r="E145" s="3" t="str">
        <f>"1996-01-21"</f>
        <v>1996-01-21</v>
      </c>
    </row>
    <row r="146" spans="1:5" s="4" customFormat="1" ht="18" customHeight="1">
      <c r="A146" s="3" t="str">
        <f>"21342019072711020494537"</f>
        <v>21342019072711020494537</v>
      </c>
      <c r="B146" s="3" t="s">
        <v>6</v>
      </c>
      <c r="C146" s="3" t="str">
        <f>"李爱锋"</f>
        <v>李爱锋</v>
      </c>
      <c r="D146" s="3" t="str">
        <f t="shared" si="2"/>
        <v>女</v>
      </c>
      <c r="E146" s="3" t="str">
        <f>"1992-08-09"</f>
        <v>1992-08-09</v>
      </c>
    </row>
    <row r="147" spans="1:5" s="4" customFormat="1" ht="18" customHeight="1">
      <c r="A147" s="3" t="str">
        <f>"21342019072711021394538"</f>
        <v>21342019072711021394538</v>
      </c>
      <c r="B147" s="3" t="s">
        <v>6</v>
      </c>
      <c r="C147" s="3" t="str">
        <f>"李海萍"</f>
        <v>李海萍</v>
      </c>
      <c r="D147" s="3" t="str">
        <f t="shared" si="2"/>
        <v>女</v>
      </c>
      <c r="E147" s="3" t="str">
        <f>"1995-08-19"</f>
        <v>1995-08-19</v>
      </c>
    </row>
    <row r="148" spans="1:5" s="4" customFormat="1" ht="18" customHeight="1">
      <c r="A148" s="3" t="str">
        <f>"21342019072711021794539"</f>
        <v>21342019072711021794539</v>
      </c>
      <c r="B148" s="3" t="s">
        <v>6</v>
      </c>
      <c r="C148" s="3" t="str">
        <f>"张怡"</f>
        <v>张怡</v>
      </c>
      <c r="D148" s="3" t="str">
        <f t="shared" si="2"/>
        <v>女</v>
      </c>
      <c r="E148" s="3" t="str">
        <f>"1994-05-24"</f>
        <v>1994-05-24</v>
      </c>
    </row>
    <row r="149" spans="1:5" s="4" customFormat="1" ht="18" customHeight="1">
      <c r="A149" s="3" t="str">
        <f>"21342019072711023694540"</f>
        <v>21342019072711023694540</v>
      </c>
      <c r="B149" s="3" t="s">
        <v>6</v>
      </c>
      <c r="C149" s="3" t="str">
        <f>"羊以虹"</f>
        <v>羊以虹</v>
      </c>
      <c r="D149" s="3" t="str">
        <f t="shared" si="2"/>
        <v>女</v>
      </c>
      <c r="E149" s="3" t="str">
        <f>"1995-07-11"</f>
        <v>1995-07-11</v>
      </c>
    </row>
    <row r="150" spans="1:5" s="4" customFormat="1" ht="18" customHeight="1">
      <c r="A150" s="3" t="str">
        <f>"21342019072711032294541"</f>
        <v>21342019072711032294541</v>
      </c>
      <c r="B150" s="3" t="s">
        <v>6</v>
      </c>
      <c r="C150" s="3" t="str">
        <f>"黄燕冰"</f>
        <v>黄燕冰</v>
      </c>
      <c r="D150" s="3" t="str">
        <f t="shared" si="2"/>
        <v>女</v>
      </c>
      <c r="E150" s="3" t="str">
        <f>"1993-02-09"</f>
        <v>1993-02-09</v>
      </c>
    </row>
    <row r="151" spans="1:5" s="4" customFormat="1" ht="18" customHeight="1">
      <c r="A151" s="3" t="str">
        <f>"21342019072711035894542"</f>
        <v>21342019072711035894542</v>
      </c>
      <c r="B151" s="3" t="s">
        <v>6</v>
      </c>
      <c r="C151" s="3" t="str">
        <f>"唐允妃"</f>
        <v>唐允妃</v>
      </c>
      <c r="D151" s="3" t="str">
        <f t="shared" si="2"/>
        <v>女</v>
      </c>
      <c r="E151" s="3" t="str">
        <f>"1995-04-12"</f>
        <v>1995-04-12</v>
      </c>
    </row>
    <row r="152" spans="1:5" s="4" customFormat="1" ht="18" customHeight="1">
      <c r="A152" s="3" t="str">
        <f>"21342019072711044194543"</f>
        <v>21342019072711044194543</v>
      </c>
      <c r="B152" s="3" t="s">
        <v>6</v>
      </c>
      <c r="C152" s="3" t="str">
        <f>"邓薇薇"</f>
        <v>邓薇薇</v>
      </c>
      <c r="D152" s="3" t="str">
        <f t="shared" si="2"/>
        <v>女</v>
      </c>
      <c r="E152" s="3" t="str">
        <f>"1995-10-05"</f>
        <v>1995-10-05</v>
      </c>
    </row>
    <row r="153" spans="1:5" s="4" customFormat="1" ht="18" customHeight="1">
      <c r="A153" s="3" t="str">
        <f>"21342019072711045194544"</f>
        <v>21342019072711045194544</v>
      </c>
      <c r="B153" s="3" t="s">
        <v>6</v>
      </c>
      <c r="C153" s="3" t="str">
        <f>"李喜姣"</f>
        <v>李喜姣</v>
      </c>
      <c r="D153" s="3" t="str">
        <f t="shared" si="2"/>
        <v>女</v>
      </c>
      <c r="E153" s="3" t="str">
        <f>"1992-12-27"</f>
        <v>1992-12-27</v>
      </c>
    </row>
    <row r="154" spans="1:5" s="4" customFormat="1" ht="18" customHeight="1">
      <c r="A154" s="3" t="str">
        <f>"21342019072711053294546"</f>
        <v>21342019072711053294546</v>
      </c>
      <c r="B154" s="3" t="s">
        <v>6</v>
      </c>
      <c r="C154" s="3" t="str">
        <f>"王燕园"</f>
        <v>王燕园</v>
      </c>
      <c r="D154" s="3" t="str">
        <f t="shared" si="2"/>
        <v>女</v>
      </c>
      <c r="E154" s="3" t="str">
        <f>"1993-12-15"</f>
        <v>1993-12-15</v>
      </c>
    </row>
    <row r="155" spans="1:5" s="4" customFormat="1" ht="18" customHeight="1">
      <c r="A155" s="3" t="str">
        <f>"21342019072711054894547"</f>
        <v>21342019072711054894547</v>
      </c>
      <c r="B155" s="3" t="s">
        <v>6</v>
      </c>
      <c r="C155" s="3" t="str">
        <f>"林颖颖"</f>
        <v>林颖颖</v>
      </c>
      <c r="D155" s="3" t="str">
        <f t="shared" si="2"/>
        <v>女</v>
      </c>
      <c r="E155" s="3" t="str">
        <f>"1994-07-18"</f>
        <v>1994-07-18</v>
      </c>
    </row>
    <row r="156" spans="1:5" s="4" customFormat="1" ht="18" customHeight="1">
      <c r="A156" s="3" t="str">
        <f>"21342019072711055594548"</f>
        <v>21342019072711055594548</v>
      </c>
      <c r="B156" s="3" t="s">
        <v>6</v>
      </c>
      <c r="C156" s="3" t="str">
        <f>"陈冬梅"</f>
        <v>陈冬梅</v>
      </c>
      <c r="D156" s="3" t="str">
        <f t="shared" si="2"/>
        <v>女</v>
      </c>
      <c r="E156" s="3" t="str">
        <f>"1995-04-08"</f>
        <v>1995-04-08</v>
      </c>
    </row>
    <row r="157" spans="1:5" s="4" customFormat="1" ht="18" customHeight="1">
      <c r="A157" s="3" t="str">
        <f>"21342019072711072294550"</f>
        <v>21342019072711072294550</v>
      </c>
      <c r="B157" s="3" t="s">
        <v>6</v>
      </c>
      <c r="C157" s="3" t="str">
        <f>"陈茹芳"</f>
        <v>陈茹芳</v>
      </c>
      <c r="D157" s="3" t="str">
        <f t="shared" si="2"/>
        <v>女</v>
      </c>
      <c r="E157" s="3" t="str">
        <f>"1993-12-08"</f>
        <v>1993-12-08</v>
      </c>
    </row>
    <row r="158" spans="1:5" s="4" customFormat="1" ht="18" customHeight="1">
      <c r="A158" s="3" t="str">
        <f>"21342019072711091694554"</f>
        <v>21342019072711091694554</v>
      </c>
      <c r="B158" s="3" t="s">
        <v>6</v>
      </c>
      <c r="C158" s="3" t="str">
        <f>"周香敏"</f>
        <v>周香敏</v>
      </c>
      <c r="D158" s="3" t="str">
        <f t="shared" si="2"/>
        <v>女</v>
      </c>
      <c r="E158" s="3" t="str">
        <f>"1994-11-23"</f>
        <v>1994-11-23</v>
      </c>
    </row>
    <row r="159" spans="1:5" s="4" customFormat="1" ht="18" customHeight="1">
      <c r="A159" s="3" t="str">
        <f>"21342019072711100894556"</f>
        <v>21342019072711100894556</v>
      </c>
      <c r="B159" s="3" t="s">
        <v>6</v>
      </c>
      <c r="C159" s="3" t="str">
        <f>"薛小花"</f>
        <v>薛小花</v>
      </c>
      <c r="D159" s="3" t="str">
        <f t="shared" si="2"/>
        <v>女</v>
      </c>
      <c r="E159" s="3" t="str">
        <f>"1995-01-27"</f>
        <v>1995-01-27</v>
      </c>
    </row>
    <row r="160" spans="1:5" s="4" customFormat="1" ht="18" customHeight="1">
      <c r="A160" s="3" t="str">
        <f>"21342019072711122594557"</f>
        <v>21342019072711122594557</v>
      </c>
      <c r="B160" s="3" t="s">
        <v>6</v>
      </c>
      <c r="C160" s="3" t="str">
        <f>"王慧敏"</f>
        <v>王慧敏</v>
      </c>
      <c r="D160" s="3" t="str">
        <f t="shared" si="2"/>
        <v>女</v>
      </c>
      <c r="E160" s="3" t="str">
        <f>"1993-01-04"</f>
        <v>1993-01-04</v>
      </c>
    </row>
    <row r="161" spans="1:5" s="4" customFormat="1" ht="18" customHeight="1">
      <c r="A161" s="3" t="str">
        <f>"21342019072711123394558"</f>
        <v>21342019072711123394558</v>
      </c>
      <c r="B161" s="3" t="s">
        <v>6</v>
      </c>
      <c r="C161" s="3" t="str">
        <f>"王晨迅"</f>
        <v>王晨迅</v>
      </c>
      <c r="D161" s="3" t="str">
        <f t="shared" si="2"/>
        <v>女</v>
      </c>
      <c r="E161" s="3" t="str">
        <f>"2001-02-01"</f>
        <v>2001-02-01</v>
      </c>
    </row>
    <row r="162" spans="1:5" s="4" customFormat="1" ht="18" customHeight="1">
      <c r="A162" s="3" t="str">
        <f>"21342019072711140594560"</f>
        <v>21342019072711140594560</v>
      </c>
      <c r="B162" s="3" t="s">
        <v>6</v>
      </c>
      <c r="C162" s="3" t="str">
        <f>"李荣欣"</f>
        <v>李荣欣</v>
      </c>
      <c r="D162" s="3" t="str">
        <f t="shared" si="2"/>
        <v>女</v>
      </c>
      <c r="E162" s="3" t="str">
        <f>"1994-12-20"</f>
        <v>1994-12-20</v>
      </c>
    </row>
    <row r="163" spans="1:5" s="4" customFormat="1" ht="18" customHeight="1">
      <c r="A163" s="3" t="str">
        <f>"21342019072711145194561"</f>
        <v>21342019072711145194561</v>
      </c>
      <c r="B163" s="3" t="s">
        <v>6</v>
      </c>
      <c r="C163" s="3" t="str">
        <f>"余宛鲛"</f>
        <v>余宛鲛</v>
      </c>
      <c r="D163" s="3" t="str">
        <f t="shared" si="2"/>
        <v>女</v>
      </c>
      <c r="E163" s="3" t="str">
        <f>"1995-11-11"</f>
        <v>1995-11-11</v>
      </c>
    </row>
    <row r="164" spans="1:5" s="4" customFormat="1" ht="18" customHeight="1">
      <c r="A164" s="3" t="str">
        <f>"21342019072711150394562"</f>
        <v>21342019072711150394562</v>
      </c>
      <c r="B164" s="3" t="s">
        <v>6</v>
      </c>
      <c r="C164" s="3" t="str">
        <f>"赵银"</f>
        <v>赵银</v>
      </c>
      <c r="D164" s="3" t="str">
        <f t="shared" si="2"/>
        <v>女</v>
      </c>
      <c r="E164" s="3" t="str">
        <f>"1996-10-10"</f>
        <v>1996-10-10</v>
      </c>
    </row>
    <row r="165" spans="1:5" s="4" customFormat="1" ht="18" customHeight="1">
      <c r="A165" s="3" t="str">
        <f>"21342019072711152594563"</f>
        <v>21342019072711152594563</v>
      </c>
      <c r="B165" s="3" t="s">
        <v>6</v>
      </c>
      <c r="C165" s="3" t="str">
        <f>"谢少珠"</f>
        <v>谢少珠</v>
      </c>
      <c r="D165" s="3" t="str">
        <f t="shared" si="2"/>
        <v>女</v>
      </c>
      <c r="E165" s="3" t="str">
        <f>"1994-05-08"</f>
        <v>1994-05-08</v>
      </c>
    </row>
    <row r="166" spans="1:5" s="4" customFormat="1" ht="18" customHeight="1">
      <c r="A166" s="3" t="str">
        <f>"21342019072711154794564"</f>
        <v>21342019072711154794564</v>
      </c>
      <c r="B166" s="3" t="s">
        <v>6</v>
      </c>
      <c r="C166" s="3" t="str">
        <f>"赵承素"</f>
        <v>赵承素</v>
      </c>
      <c r="D166" s="3" t="str">
        <f t="shared" si="2"/>
        <v>女</v>
      </c>
      <c r="E166" s="3" t="str">
        <f>"1992-05-13"</f>
        <v>1992-05-13</v>
      </c>
    </row>
    <row r="167" spans="1:5" s="4" customFormat="1" ht="18" customHeight="1">
      <c r="A167" s="3" t="str">
        <f>"21342019072711162994565"</f>
        <v>21342019072711162994565</v>
      </c>
      <c r="B167" s="3" t="s">
        <v>6</v>
      </c>
      <c r="C167" s="3" t="str">
        <f>"陈喜艳"</f>
        <v>陈喜艳</v>
      </c>
      <c r="D167" s="3" t="str">
        <f t="shared" si="2"/>
        <v>女</v>
      </c>
      <c r="E167" s="3" t="str">
        <f>"1990-12-02"</f>
        <v>1990-12-02</v>
      </c>
    </row>
    <row r="168" spans="1:5" s="4" customFormat="1" ht="18" customHeight="1">
      <c r="A168" s="3" t="str">
        <f>"21342019072711172094566"</f>
        <v>21342019072711172094566</v>
      </c>
      <c r="B168" s="3" t="s">
        <v>6</v>
      </c>
      <c r="C168" s="3" t="str">
        <f>"陈湾"</f>
        <v>陈湾</v>
      </c>
      <c r="D168" s="3" t="str">
        <f t="shared" si="2"/>
        <v>女</v>
      </c>
      <c r="E168" s="3" t="str">
        <f>"1996-09-16"</f>
        <v>1996-09-16</v>
      </c>
    </row>
    <row r="169" spans="1:5" s="4" customFormat="1" ht="18" customHeight="1">
      <c r="A169" s="3" t="str">
        <f>"21342019072711193694568"</f>
        <v>21342019072711193694568</v>
      </c>
      <c r="B169" s="3" t="s">
        <v>6</v>
      </c>
      <c r="C169" s="3" t="str">
        <f>"郭菲"</f>
        <v>郭菲</v>
      </c>
      <c r="D169" s="3" t="str">
        <f t="shared" si="2"/>
        <v>女</v>
      </c>
      <c r="E169" s="3" t="str">
        <f>"1995-04-11"</f>
        <v>1995-04-11</v>
      </c>
    </row>
    <row r="170" spans="1:5" s="4" customFormat="1" ht="18" customHeight="1">
      <c r="A170" s="3" t="str">
        <f>"21342019072711212394569"</f>
        <v>21342019072711212394569</v>
      </c>
      <c r="B170" s="3" t="s">
        <v>6</v>
      </c>
      <c r="C170" s="3" t="str">
        <f>"王雪眉"</f>
        <v>王雪眉</v>
      </c>
      <c r="D170" s="3" t="str">
        <f t="shared" si="2"/>
        <v>女</v>
      </c>
      <c r="E170" s="3" t="str">
        <f>"1997-08-18"</f>
        <v>1997-08-18</v>
      </c>
    </row>
    <row r="171" spans="1:5" s="4" customFormat="1" ht="18" customHeight="1">
      <c r="A171" s="3" t="str">
        <f>"21342019072711221194570"</f>
        <v>21342019072711221194570</v>
      </c>
      <c r="B171" s="3" t="s">
        <v>6</v>
      </c>
      <c r="C171" s="3" t="str">
        <f>"郑利芳"</f>
        <v>郑利芳</v>
      </c>
      <c r="D171" s="3" t="str">
        <f t="shared" si="2"/>
        <v>女</v>
      </c>
      <c r="E171" s="3" t="str">
        <f>"1994-04-05"</f>
        <v>1994-04-05</v>
      </c>
    </row>
    <row r="172" spans="1:5" s="4" customFormat="1" ht="18" customHeight="1">
      <c r="A172" s="3" t="str">
        <f>"21342019072711223594571"</f>
        <v>21342019072711223594571</v>
      </c>
      <c r="B172" s="3" t="s">
        <v>6</v>
      </c>
      <c r="C172" s="3" t="str">
        <f>"王晶浩"</f>
        <v>王晶浩</v>
      </c>
      <c r="D172" s="3" t="str">
        <f t="shared" si="2"/>
        <v>女</v>
      </c>
      <c r="E172" s="3" t="str">
        <f>"1992-11-30"</f>
        <v>1992-11-30</v>
      </c>
    </row>
    <row r="173" spans="1:5" s="4" customFormat="1" ht="18" customHeight="1">
      <c r="A173" s="3" t="str">
        <f>"21342019072711233394572"</f>
        <v>21342019072711233394572</v>
      </c>
      <c r="B173" s="3" t="s">
        <v>6</v>
      </c>
      <c r="C173" s="3" t="str">
        <f>"罗梦妮"</f>
        <v>罗梦妮</v>
      </c>
      <c r="D173" s="3" t="str">
        <f t="shared" si="2"/>
        <v>女</v>
      </c>
      <c r="E173" s="3" t="str">
        <f>"1994-10-20"</f>
        <v>1994-10-20</v>
      </c>
    </row>
    <row r="174" spans="1:5" s="4" customFormat="1" ht="18" customHeight="1">
      <c r="A174" s="3" t="str">
        <f>"21342019072711243894575"</f>
        <v>21342019072711243894575</v>
      </c>
      <c r="B174" s="3" t="s">
        <v>6</v>
      </c>
      <c r="C174" s="3" t="str">
        <f>"庞菜低"</f>
        <v>庞菜低</v>
      </c>
      <c r="D174" s="3" t="str">
        <f t="shared" si="2"/>
        <v>女</v>
      </c>
      <c r="E174" s="3" t="str">
        <f>"1992-01-10"</f>
        <v>1992-01-10</v>
      </c>
    </row>
    <row r="175" spans="1:5" s="4" customFormat="1" ht="18" customHeight="1">
      <c r="A175" s="3" t="str">
        <f>"21342019072711244994577"</f>
        <v>21342019072711244994577</v>
      </c>
      <c r="B175" s="3" t="s">
        <v>6</v>
      </c>
      <c r="C175" s="3" t="str">
        <f>"游象琼"</f>
        <v>游象琼</v>
      </c>
      <c r="D175" s="3" t="str">
        <f t="shared" si="2"/>
        <v>女</v>
      </c>
      <c r="E175" s="3" t="str">
        <f>"1995-08-03"</f>
        <v>1995-08-03</v>
      </c>
    </row>
    <row r="176" spans="1:5" s="4" customFormat="1" ht="18" customHeight="1">
      <c r="A176" s="3" t="str">
        <f>"21342019072711253594578"</f>
        <v>21342019072711253594578</v>
      </c>
      <c r="B176" s="3" t="s">
        <v>6</v>
      </c>
      <c r="C176" s="3" t="str">
        <f>"吴代春"</f>
        <v>吴代春</v>
      </c>
      <c r="D176" s="3" t="str">
        <f t="shared" si="2"/>
        <v>女</v>
      </c>
      <c r="E176" s="3" t="str">
        <f>"1989-12-08"</f>
        <v>1989-12-08</v>
      </c>
    </row>
    <row r="177" spans="1:5" s="4" customFormat="1" ht="18" customHeight="1">
      <c r="A177" s="3" t="str">
        <f>"21342019072711271594580"</f>
        <v>21342019072711271594580</v>
      </c>
      <c r="B177" s="3" t="s">
        <v>6</v>
      </c>
      <c r="C177" s="3" t="str">
        <f>"李玉川"</f>
        <v>李玉川</v>
      </c>
      <c r="D177" s="3" t="str">
        <f t="shared" si="2"/>
        <v>女</v>
      </c>
      <c r="E177" s="3" t="str">
        <f>"1989-09-20"</f>
        <v>1989-09-20</v>
      </c>
    </row>
    <row r="178" spans="1:5" s="4" customFormat="1" ht="18" customHeight="1">
      <c r="A178" s="3" t="str">
        <f>"21342019072711283494582"</f>
        <v>21342019072711283494582</v>
      </c>
      <c r="B178" s="3" t="s">
        <v>6</v>
      </c>
      <c r="C178" s="3" t="str">
        <f>"张晓妮"</f>
        <v>张晓妮</v>
      </c>
      <c r="D178" s="3" t="str">
        <f t="shared" si="2"/>
        <v>女</v>
      </c>
      <c r="E178" s="3" t="str">
        <f>"1996-07-20"</f>
        <v>1996-07-20</v>
      </c>
    </row>
    <row r="179" spans="1:5" s="4" customFormat="1" ht="18" customHeight="1">
      <c r="A179" s="3" t="str">
        <f>"21342019072711310194584"</f>
        <v>21342019072711310194584</v>
      </c>
      <c r="B179" s="3" t="s">
        <v>6</v>
      </c>
      <c r="C179" s="3" t="str">
        <f>"郑小丹"</f>
        <v>郑小丹</v>
      </c>
      <c r="D179" s="3" t="str">
        <f t="shared" si="2"/>
        <v>女</v>
      </c>
      <c r="E179" s="3" t="str">
        <f>"1996-11-06"</f>
        <v>1996-11-06</v>
      </c>
    </row>
    <row r="180" spans="1:5" s="4" customFormat="1" ht="18" customHeight="1">
      <c r="A180" s="3" t="str">
        <f>"21342019072711314894586"</f>
        <v>21342019072711314894586</v>
      </c>
      <c r="B180" s="3" t="s">
        <v>6</v>
      </c>
      <c r="C180" s="3" t="str">
        <f>"巫粤玲"</f>
        <v>巫粤玲</v>
      </c>
      <c r="D180" s="3" t="str">
        <f t="shared" si="2"/>
        <v>女</v>
      </c>
      <c r="E180" s="3" t="str">
        <f>"1995-10-24"</f>
        <v>1995-10-24</v>
      </c>
    </row>
    <row r="181" spans="1:5" s="4" customFormat="1" ht="18" customHeight="1">
      <c r="A181" s="3" t="str">
        <f>"21342019072711324294590"</f>
        <v>21342019072711324294590</v>
      </c>
      <c r="B181" s="3" t="s">
        <v>6</v>
      </c>
      <c r="C181" s="3" t="str">
        <f>"冼送玉"</f>
        <v>冼送玉</v>
      </c>
      <c r="D181" s="3" t="str">
        <f t="shared" si="2"/>
        <v>女</v>
      </c>
      <c r="E181" s="3" t="str">
        <f>"1993-05-08"</f>
        <v>1993-05-08</v>
      </c>
    </row>
    <row r="182" spans="1:5" s="4" customFormat="1" ht="18" customHeight="1">
      <c r="A182" s="3" t="str">
        <f>"21342019072711334994591"</f>
        <v>21342019072711334994591</v>
      </c>
      <c r="B182" s="3" t="s">
        <v>6</v>
      </c>
      <c r="C182" s="3" t="str">
        <f>"符送彬"</f>
        <v>符送彬</v>
      </c>
      <c r="D182" s="3" t="str">
        <f t="shared" si="2"/>
        <v>女</v>
      </c>
      <c r="E182" s="3" t="str">
        <f>"1990-05-18"</f>
        <v>1990-05-18</v>
      </c>
    </row>
    <row r="183" spans="1:5" s="4" customFormat="1" ht="18" customHeight="1">
      <c r="A183" s="3" t="str">
        <f>"21342019072711335394592"</f>
        <v>21342019072711335394592</v>
      </c>
      <c r="B183" s="3" t="s">
        <v>6</v>
      </c>
      <c r="C183" s="3" t="str">
        <f>"吴灵"</f>
        <v>吴灵</v>
      </c>
      <c r="D183" s="3" t="str">
        <f t="shared" si="2"/>
        <v>女</v>
      </c>
      <c r="E183" s="3" t="str">
        <f>"1997-07-07"</f>
        <v>1997-07-07</v>
      </c>
    </row>
    <row r="184" spans="1:5" s="4" customFormat="1" ht="18" customHeight="1">
      <c r="A184" s="3" t="str">
        <f>"21342019072711350094593"</f>
        <v>21342019072711350094593</v>
      </c>
      <c r="B184" s="3" t="s">
        <v>6</v>
      </c>
      <c r="C184" s="3" t="str">
        <f>"黄慧玥"</f>
        <v>黄慧玥</v>
      </c>
      <c r="D184" s="3" t="str">
        <f t="shared" si="2"/>
        <v>女</v>
      </c>
      <c r="E184" s="3" t="str">
        <f>"1994-09-30"</f>
        <v>1994-09-30</v>
      </c>
    </row>
    <row r="185" spans="1:5" s="4" customFormat="1" ht="18" customHeight="1">
      <c r="A185" s="3" t="str">
        <f>"21342019072711353294594"</f>
        <v>21342019072711353294594</v>
      </c>
      <c r="B185" s="3" t="s">
        <v>6</v>
      </c>
      <c r="C185" s="3" t="str">
        <f>"陈少花"</f>
        <v>陈少花</v>
      </c>
      <c r="D185" s="3" t="str">
        <f t="shared" si="2"/>
        <v>女</v>
      </c>
      <c r="E185" s="3" t="str">
        <f>"1993-07-24"</f>
        <v>1993-07-24</v>
      </c>
    </row>
    <row r="186" spans="1:5" s="4" customFormat="1" ht="18" customHeight="1">
      <c r="A186" s="3" t="str">
        <f>"21342019072711355694595"</f>
        <v>21342019072711355694595</v>
      </c>
      <c r="B186" s="3" t="s">
        <v>6</v>
      </c>
      <c r="C186" s="3" t="str">
        <f>"黄春爱"</f>
        <v>黄春爱</v>
      </c>
      <c r="D186" s="3" t="str">
        <f t="shared" si="2"/>
        <v>女</v>
      </c>
      <c r="E186" s="3" t="str">
        <f>"1992-01-18"</f>
        <v>1992-01-18</v>
      </c>
    </row>
    <row r="187" spans="1:5" s="4" customFormat="1" ht="18" customHeight="1">
      <c r="A187" s="3" t="str">
        <f>"21342019072711362094596"</f>
        <v>21342019072711362094596</v>
      </c>
      <c r="B187" s="3" t="s">
        <v>6</v>
      </c>
      <c r="C187" s="3" t="str">
        <f>"邢士娟"</f>
        <v>邢士娟</v>
      </c>
      <c r="D187" s="3" t="str">
        <f t="shared" si="2"/>
        <v>女</v>
      </c>
      <c r="E187" s="3" t="str">
        <f>"1994-04-04"</f>
        <v>1994-04-04</v>
      </c>
    </row>
    <row r="188" spans="1:5" s="4" customFormat="1" ht="18" customHeight="1">
      <c r="A188" s="3" t="str">
        <f>"21342019072711365894598"</f>
        <v>21342019072711365894598</v>
      </c>
      <c r="B188" s="3" t="s">
        <v>6</v>
      </c>
      <c r="C188" s="3" t="str">
        <f>"吉春花"</f>
        <v>吉春花</v>
      </c>
      <c r="D188" s="3" t="str">
        <f t="shared" si="2"/>
        <v>女</v>
      </c>
      <c r="E188" s="3" t="str">
        <f>"1997-10-07"</f>
        <v>1997-10-07</v>
      </c>
    </row>
    <row r="189" spans="1:5" s="4" customFormat="1" ht="18" customHeight="1">
      <c r="A189" s="3" t="str">
        <f>"21342019072711371494599"</f>
        <v>21342019072711371494599</v>
      </c>
      <c r="B189" s="3" t="s">
        <v>6</v>
      </c>
      <c r="C189" s="3" t="str">
        <f>"符海燕"</f>
        <v>符海燕</v>
      </c>
      <c r="D189" s="3" t="str">
        <f t="shared" si="2"/>
        <v>女</v>
      </c>
      <c r="E189" s="3" t="str">
        <f>"1990-09-13"</f>
        <v>1990-09-13</v>
      </c>
    </row>
    <row r="190" spans="1:5" s="4" customFormat="1" ht="18" customHeight="1">
      <c r="A190" s="3" t="str">
        <f>"21342019072711374294600"</f>
        <v>21342019072711374294600</v>
      </c>
      <c r="B190" s="3" t="s">
        <v>6</v>
      </c>
      <c r="C190" s="3" t="str">
        <f>"符晖愉"</f>
        <v>符晖愉</v>
      </c>
      <c r="D190" s="3" t="str">
        <f t="shared" si="2"/>
        <v>女</v>
      </c>
      <c r="E190" s="3" t="str">
        <f>"1993-12-17"</f>
        <v>1993-12-17</v>
      </c>
    </row>
    <row r="191" spans="1:5" s="4" customFormat="1" ht="18" customHeight="1">
      <c r="A191" s="3" t="str">
        <f>"21342019072711382594601"</f>
        <v>21342019072711382594601</v>
      </c>
      <c r="B191" s="3" t="s">
        <v>6</v>
      </c>
      <c r="C191" s="3" t="str">
        <f>"何静仪"</f>
        <v>何静仪</v>
      </c>
      <c r="D191" s="3" t="str">
        <f t="shared" si="2"/>
        <v>女</v>
      </c>
      <c r="E191" s="3" t="str">
        <f>"1997-04-12"</f>
        <v>1997-04-12</v>
      </c>
    </row>
    <row r="192" spans="1:5" s="4" customFormat="1" ht="18" customHeight="1">
      <c r="A192" s="3" t="str">
        <f>"21342019072711383194603"</f>
        <v>21342019072711383194603</v>
      </c>
      <c r="B192" s="3" t="s">
        <v>6</v>
      </c>
      <c r="C192" s="3" t="str">
        <f>"黄启妹"</f>
        <v>黄启妹</v>
      </c>
      <c r="D192" s="3" t="str">
        <f t="shared" si="2"/>
        <v>女</v>
      </c>
      <c r="E192" s="3" t="str">
        <f>"1993-03-16"</f>
        <v>1993-03-16</v>
      </c>
    </row>
    <row r="193" spans="1:5" s="4" customFormat="1" ht="18" customHeight="1">
      <c r="A193" s="3" t="str">
        <f>"21342019072711393594605"</f>
        <v>21342019072711393594605</v>
      </c>
      <c r="B193" s="3" t="s">
        <v>6</v>
      </c>
      <c r="C193" s="3" t="str">
        <f>"刘琪"</f>
        <v>刘琪</v>
      </c>
      <c r="D193" s="3" t="str">
        <f t="shared" si="2"/>
        <v>女</v>
      </c>
      <c r="E193" s="3" t="str">
        <f>"1995-05-11"</f>
        <v>1995-05-11</v>
      </c>
    </row>
    <row r="194" spans="1:5" s="4" customFormat="1" ht="18" customHeight="1">
      <c r="A194" s="3" t="str">
        <f>"21342019072711395094607"</f>
        <v>21342019072711395094607</v>
      </c>
      <c r="B194" s="3" t="s">
        <v>6</v>
      </c>
      <c r="C194" s="3" t="str">
        <f>"叶容伶"</f>
        <v>叶容伶</v>
      </c>
      <c r="D194" s="3" t="str">
        <f t="shared" si="2"/>
        <v>女</v>
      </c>
      <c r="E194" s="3" t="str">
        <f>"1993-09-02"</f>
        <v>1993-09-02</v>
      </c>
    </row>
    <row r="195" spans="1:5" s="4" customFormat="1" ht="18" customHeight="1">
      <c r="A195" s="3" t="str">
        <f>"21342019072711395194608"</f>
        <v>21342019072711395194608</v>
      </c>
      <c r="B195" s="3" t="s">
        <v>6</v>
      </c>
      <c r="C195" s="3" t="str">
        <f>"王艺瑾"</f>
        <v>王艺瑾</v>
      </c>
      <c r="D195" s="3" t="str">
        <f aca="true" t="shared" si="3" ref="D195:D258">"女"</f>
        <v>女</v>
      </c>
      <c r="E195" s="3" t="str">
        <f>"1997-01-19"</f>
        <v>1997-01-19</v>
      </c>
    </row>
    <row r="196" spans="1:5" s="4" customFormat="1" ht="18" customHeight="1">
      <c r="A196" s="3" t="str">
        <f>"21342019072711421094610"</f>
        <v>21342019072711421094610</v>
      </c>
      <c r="B196" s="3" t="s">
        <v>6</v>
      </c>
      <c r="C196" s="3" t="str">
        <f>"黄芳"</f>
        <v>黄芳</v>
      </c>
      <c r="D196" s="3" t="str">
        <f t="shared" si="3"/>
        <v>女</v>
      </c>
      <c r="E196" s="3" t="str">
        <f>"1993-07-18"</f>
        <v>1993-07-18</v>
      </c>
    </row>
    <row r="197" spans="1:5" s="4" customFormat="1" ht="18" customHeight="1">
      <c r="A197" s="3" t="str">
        <f>"21342019072711432994612"</f>
        <v>21342019072711432994612</v>
      </c>
      <c r="B197" s="3" t="s">
        <v>6</v>
      </c>
      <c r="C197" s="3" t="str">
        <f>"柯顺意"</f>
        <v>柯顺意</v>
      </c>
      <c r="D197" s="3" t="str">
        <f t="shared" si="3"/>
        <v>女</v>
      </c>
      <c r="E197" s="3" t="str">
        <f>"1994-03-24"</f>
        <v>1994-03-24</v>
      </c>
    </row>
    <row r="198" spans="1:5" s="4" customFormat="1" ht="18" customHeight="1">
      <c r="A198" s="3" t="str">
        <f>"21342019072711435694613"</f>
        <v>21342019072711435694613</v>
      </c>
      <c r="B198" s="3" t="s">
        <v>6</v>
      </c>
      <c r="C198" s="3" t="str">
        <f>"刘延带"</f>
        <v>刘延带</v>
      </c>
      <c r="D198" s="3" t="str">
        <f t="shared" si="3"/>
        <v>女</v>
      </c>
      <c r="E198" s="3" t="str">
        <f>"1991-01-25"</f>
        <v>1991-01-25</v>
      </c>
    </row>
    <row r="199" spans="1:5" s="4" customFormat="1" ht="18" customHeight="1">
      <c r="A199" s="3" t="str">
        <f>"21342019072711440394614"</f>
        <v>21342019072711440394614</v>
      </c>
      <c r="B199" s="3" t="s">
        <v>6</v>
      </c>
      <c r="C199" s="3" t="str">
        <f>"王金霞"</f>
        <v>王金霞</v>
      </c>
      <c r="D199" s="3" t="str">
        <f t="shared" si="3"/>
        <v>女</v>
      </c>
      <c r="E199" s="3" t="str">
        <f>"1995-02-25"</f>
        <v>1995-02-25</v>
      </c>
    </row>
    <row r="200" spans="1:5" s="4" customFormat="1" ht="18" customHeight="1">
      <c r="A200" s="3" t="str">
        <f>"21342019072711441894615"</f>
        <v>21342019072711441894615</v>
      </c>
      <c r="B200" s="3" t="s">
        <v>6</v>
      </c>
      <c r="C200" s="3" t="str">
        <f>"刘文倩"</f>
        <v>刘文倩</v>
      </c>
      <c r="D200" s="3" t="str">
        <f t="shared" si="3"/>
        <v>女</v>
      </c>
      <c r="E200" s="3" t="str">
        <f>"1996-06-01"</f>
        <v>1996-06-01</v>
      </c>
    </row>
    <row r="201" spans="1:5" s="4" customFormat="1" ht="18" customHeight="1">
      <c r="A201" s="3" t="str">
        <f>"21342019072711444194616"</f>
        <v>21342019072711444194616</v>
      </c>
      <c r="B201" s="3" t="s">
        <v>6</v>
      </c>
      <c r="C201" s="3" t="str">
        <f>"黄惠娴"</f>
        <v>黄惠娴</v>
      </c>
      <c r="D201" s="3" t="str">
        <f t="shared" si="3"/>
        <v>女</v>
      </c>
      <c r="E201" s="3" t="str">
        <f>"1993-10-26"</f>
        <v>1993-10-26</v>
      </c>
    </row>
    <row r="202" spans="1:5" s="4" customFormat="1" ht="18" customHeight="1">
      <c r="A202" s="3" t="str">
        <f>"21342019072711445794617"</f>
        <v>21342019072711445794617</v>
      </c>
      <c r="B202" s="3" t="s">
        <v>6</v>
      </c>
      <c r="C202" s="3" t="str">
        <f>"韦慧莲"</f>
        <v>韦慧莲</v>
      </c>
      <c r="D202" s="3" t="str">
        <f t="shared" si="3"/>
        <v>女</v>
      </c>
      <c r="E202" s="3" t="str">
        <f>"1992-11-14"</f>
        <v>1992-11-14</v>
      </c>
    </row>
    <row r="203" spans="1:5" s="4" customFormat="1" ht="18" customHeight="1">
      <c r="A203" s="3" t="str">
        <f>"21342019072711450894618"</f>
        <v>21342019072711450894618</v>
      </c>
      <c r="B203" s="3" t="s">
        <v>6</v>
      </c>
      <c r="C203" s="3" t="str">
        <f>"郑孟来"</f>
        <v>郑孟来</v>
      </c>
      <c r="D203" s="3" t="str">
        <f t="shared" si="3"/>
        <v>女</v>
      </c>
      <c r="E203" s="3" t="str">
        <f>"1997-02-06"</f>
        <v>1997-02-06</v>
      </c>
    </row>
    <row r="204" spans="1:5" s="4" customFormat="1" ht="18" customHeight="1">
      <c r="A204" s="3" t="str">
        <f>"21342019072711451994620"</f>
        <v>21342019072711451994620</v>
      </c>
      <c r="B204" s="3" t="s">
        <v>6</v>
      </c>
      <c r="C204" s="3" t="str">
        <f>"金庆坤"</f>
        <v>金庆坤</v>
      </c>
      <c r="D204" s="3" t="str">
        <f t="shared" si="3"/>
        <v>女</v>
      </c>
      <c r="E204" s="3" t="str">
        <f>"1995-10-08"</f>
        <v>1995-10-08</v>
      </c>
    </row>
    <row r="205" spans="1:5" s="4" customFormat="1" ht="18" customHeight="1">
      <c r="A205" s="3" t="str">
        <f>"21342019072711472994622"</f>
        <v>21342019072711472994622</v>
      </c>
      <c r="B205" s="3" t="s">
        <v>6</v>
      </c>
      <c r="C205" s="3" t="str">
        <f>"王小敏"</f>
        <v>王小敏</v>
      </c>
      <c r="D205" s="3" t="str">
        <f t="shared" si="3"/>
        <v>女</v>
      </c>
      <c r="E205" s="3" t="str">
        <f>"1991-05-11"</f>
        <v>1991-05-11</v>
      </c>
    </row>
    <row r="206" spans="1:5" s="4" customFormat="1" ht="18" customHeight="1">
      <c r="A206" s="3" t="str">
        <f>"21342019072711505894627"</f>
        <v>21342019072711505894627</v>
      </c>
      <c r="B206" s="3" t="s">
        <v>6</v>
      </c>
      <c r="C206" s="3" t="str">
        <f>"陈杰芳"</f>
        <v>陈杰芳</v>
      </c>
      <c r="D206" s="3" t="str">
        <f t="shared" si="3"/>
        <v>女</v>
      </c>
      <c r="E206" s="3" t="str">
        <f>"1992-11-05"</f>
        <v>1992-11-05</v>
      </c>
    </row>
    <row r="207" spans="1:5" s="4" customFormat="1" ht="18" customHeight="1">
      <c r="A207" s="3" t="str">
        <f>"21342019072711512194629"</f>
        <v>21342019072711512194629</v>
      </c>
      <c r="B207" s="3" t="s">
        <v>6</v>
      </c>
      <c r="C207" s="3" t="str">
        <f>"符冰"</f>
        <v>符冰</v>
      </c>
      <c r="D207" s="3" t="str">
        <f t="shared" si="3"/>
        <v>女</v>
      </c>
      <c r="E207" s="3" t="str">
        <f>"1992-10-03"</f>
        <v>1992-10-03</v>
      </c>
    </row>
    <row r="208" spans="1:5" s="4" customFormat="1" ht="18" customHeight="1">
      <c r="A208" s="3" t="str">
        <f>"21342019072711565394633"</f>
        <v>21342019072711565394633</v>
      </c>
      <c r="B208" s="3" t="s">
        <v>6</v>
      </c>
      <c r="C208" s="3" t="str">
        <f>"林舒婷"</f>
        <v>林舒婷</v>
      </c>
      <c r="D208" s="3" t="str">
        <f t="shared" si="3"/>
        <v>女</v>
      </c>
      <c r="E208" s="3" t="str">
        <f>"1995-03-17"</f>
        <v>1995-03-17</v>
      </c>
    </row>
    <row r="209" spans="1:5" s="4" customFormat="1" ht="18" customHeight="1">
      <c r="A209" s="3" t="str">
        <f>"21342019072711572894635"</f>
        <v>21342019072711572894635</v>
      </c>
      <c r="B209" s="3" t="s">
        <v>6</v>
      </c>
      <c r="C209" s="3" t="str">
        <f>"陈淑兰"</f>
        <v>陈淑兰</v>
      </c>
      <c r="D209" s="3" t="str">
        <f t="shared" si="3"/>
        <v>女</v>
      </c>
      <c r="E209" s="3" t="str">
        <f>"1991-12-10"</f>
        <v>1991-12-10</v>
      </c>
    </row>
    <row r="210" spans="1:5" s="4" customFormat="1" ht="18" customHeight="1">
      <c r="A210" s="3" t="str">
        <f>"21342019072712005094638"</f>
        <v>21342019072712005094638</v>
      </c>
      <c r="B210" s="3" t="s">
        <v>6</v>
      </c>
      <c r="C210" s="3" t="str">
        <f>"王慧转"</f>
        <v>王慧转</v>
      </c>
      <c r="D210" s="3" t="str">
        <f t="shared" si="3"/>
        <v>女</v>
      </c>
      <c r="E210" s="3" t="str">
        <f>"1996-12-02"</f>
        <v>1996-12-02</v>
      </c>
    </row>
    <row r="211" spans="1:5" s="4" customFormat="1" ht="18" customHeight="1">
      <c r="A211" s="3" t="str">
        <f>"21342019072712020094640"</f>
        <v>21342019072712020094640</v>
      </c>
      <c r="B211" s="3" t="s">
        <v>6</v>
      </c>
      <c r="C211" s="3" t="str">
        <f>"钟唐静"</f>
        <v>钟唐静</v>
      </c>
      <c r="D211" s="3" t="str">
        <f t="shared" si="3"/>
        <v>女</v>
      </c>
      <c r="E211" s="3" t="str">
        <f>"1991-08-24"</f>
        <v>1991-08-24</v>
      </c>
    </row>
    <row r="212" spans="1:5" s="4" customFormat="1" ht="18" customHeight="1">
      <c r="A212" s="3" t="str">
        <f>"21342019072712092494646"</f>
        <v>21342019072712092494646</v>
      </c>
      <c r="B212" s="3" t="s">
        <v>6</v>
      </c>
      <c r="C212" s="3" t="str">
        <f>"符贵宽"</f>
        <v>符贵宽</v>
      </c>
      <c r="D212" s="3" t="str">
        <f t="shared" si="3"/>
        <v>女</v>
      </c>
      <c r="E212" s="3" t="str">
        <f>"1992-02-10"</f>
        <v>1992-02-10</v>
      </c>
    </row>
    <row r="213" spans="1:5" s="4" customFormat="1" ht="18" customHeight="1">
      <c r="A213" s="3" t="str">
        <f>"21342019072712100294647"</f>
        <v>21342019072712100294647</v>
      </c>
      <c r="B213" s="3" t="s">
        <v>6</v>
      </c>
      <c r="C213" s="3" t="str">
        <f>"蔡利盈"</f>
        <v>蔡利盈</v>
      </c>
      <c r="D213" s="3" t="str">
        <f t="shared" si="3"/>
        <v>女</v>
      </c>
      <c r="E213" s="3" t="str">
        <f>"1991-06-10"</f>
        <v>1991-06-10</v>
      </c>
    </row>
    <row r="214" spans="1:5" s="4" customFormat="1" ht="18" customHeight="1">
      <c r="A214" s="3" t="str">
        <f>"21342019072712110094648"</f>
        <v>21342019072712110094648</v>
      </c>
      <c r="B214" s="3" t="s">
        <v>6</v>
      </c>
      <c r="C214" s="3" t="str">
        <f>"陈晓敏"</f>
        <v>陈晓敏</v>
      </c>
      <c r="D214" s="3" t="str">
        <f t="shared" si="3"/>
        <v>女</v>
      </c>
      <c r="E214" s="3" t="str">
        <f>"1995-09-14"</f>
        <v>1995-09-14</v>
      </c>
    </row>
    <row r="215" spans="1:5" s="4" customFormat="1" ht="18" customHeight="1">
      <c r="A215" s="3" t="str">
        <f>"21342019072712114894649"</f>
        <v>21342019072712114894649</v>
      </c>
      <c r="B215" s="3" t="s">
        <v>6</v>
      </c>
      <c r="C215" s="3" t="str">
        <f>"王娜"</f>
        <v>王娜</v>
      </c>
      <c r="D215" s="3" t="str">
        <f t="shared" si="3"/>
        <v>女</v>
      </c>
      <c r="E215" s="3" t="str">
        <f>"1991-05-20"</f>
        <v>1991-05-20</v>
      </c>
    </row>
    <row r="216" spans="1:5" s="4" customFormat="1" ht="18" customHeight="1">
      <c r="A216" s="3" t="str">
        <f>"21342019072712125194651"</f>
        <v>21342019072712125194651</v>
      </c>
      <c r="B216" s="3" t="s">
        <v>6</v>
      </c>
      <c r="C216" s="3" t="str">
        <f>"林丽团"</f>
        <v>林丽团</v>
      </c>
      <c r="D216" s="3" t="str">
        <f t="shared" si="3"/>
        <v>女</v>
      </c>
      <c r="E216" s="3" t="str">
        <f>"1996-12-20"</f>
        <v>1996-12-20</v>
      </c>
    </row>
    <row r="217" spans="1:5" s="4" customFormat="1" ht="18" customHeight="1">
      <c r="A217" s="3" t="str">
        <f>"21342019072712164994657"</f>
        <v>21342019072712164994657</v>
      </c>
      <c r="B217" s="3" t="s">
        <v>6</v>
      </c>
      <c r="C217" s="3" t="str">
        <f>"郑珍珍"</f>
        <v>郑珍珍</v>
      </c>
      <c r="D217" s="3" t="str">
        <f t="shared" si="3"/>
        <v>女</v>
      </c>
      <c r="E217" s="3" t="str">
        <f>"1998-07-28"</f>
        <v>1998-07-28</v>
      </c>
    </row>
    <row r="218" spans="1:5" s="4" customFormat="1" ht="18" customHeight="1">
      <c r="A218" s="3" t="str">
        <f>"21342019072712171194658"</f>
        <v>21342019072712171194658</v>
      </c>
      <c r="B218" s="3" t="s">
        <v>6</v>
      </c>
      <c r="C218" s="3" t="str">
        <f>"吴子莹"</f>
        <v>吴子莹</v>
      </c>
      <c r="D218" s="3" t="str">
        <f t="shared" si="3"/>
        <v>女</v>
      </c>
      <c r="E218" s="3" t="str">
        <f>"1994-08-17"</f>
        <v>1994-08-17</v>
      </c>
    </row>
    <row r="219" spans="1:5" s="4" customFormat="1" ht="18" customHeight="1">
      <c r="A219" s="3" t="str">
        <f>"21342019072712171494659"</f>
        <v>21342019072712171494659</v>
      </c>
      <c r="B219" s="3" t="s">
        <v>6</v>
      </c>
      <c r="C219" s="3" t="str">
        <f>"李妹芳"</f>
        <v>李妹芳</v>
      </c>
      <c r="D219" s="3" t="str">
        <f t="shared" si="3"/>
        <v>女</v>
      </c>
      <c r="E219" s="3" t="str">
        <f>"1997-10-08"</f>
        <v>1997-10-08</v>
      </c>
    </row>
    <row r="220" spans="1:5" s="4" customFormat="1" ht="18" customHeight="1">
      <c r="A220" s="3" t="str">
        <f>"21342019072712235894661"</f>
        <v>21342019072712235894661</v>
      </c>
      <c r="B220" s="3" t="s">
        <v>6</v>
      </c>
      <c r="C220" s="3" t="str">
        <f>"符开瑛"</f>
        <v>符开瑛</v>
      </c>
      <c r="D220" s="3" t="str">
        <f t="shared" si="3"/>
        <v>女</v>
      </c>
      <c r="E220" s="3" t="str">
        <f>"1992-01-16"</f>
        <v>1992-01-16</v>
      </c>
    </row>
    <row r="221" spans="1:5" s="4" customFormat="1" ht="18" customHeight="1">
      <c r="A221" s="3" t="str">
        <f>"21342019072712260394665"</f>
        <v>21342019072712260394665</v>
      </c>
      <c r="B221" s="3" t="s">
        <v>6</v>
      </c>
      <c r="C221" s="3" t="str">
        <f>"王春艳"</f>
        <v>王春艳</v>
      </c>
      <c r="D221" s="3" t="str">
        <f t="shared" si="3"/>
        <v>女</v>
      </c>
      <c r="E221" s="3" t="str">
        <f>"1992-11-06"</f>
        <v>1992-11-06</v>
      </c>
    </row>
    <row r="222" spans="1:5" s="4" customFormat="1" ht="18" customHeight="1">
      <c r="A222" s="3" t="str">
        <f>"21342019072712264194666"</f>
        <v>21342019072712264194666</v>
      </c>
      <c r="B222" s="3" t="s">
        <v>6</v>
      </c>
      <c r="C222" s="3" t="str">
        <f>"陈仕燕"</f>
        <v>陈仕燕</v>
      </c>
      <c r="D222" s="3" t="str">
        <f t="shared" si="3"/>
        <v>女</v>
      </c>
      <c r="E222" s="3" t="str">
        <f>"1992-03-16"</f>
        <v>1992-03-16</v>
      </c>
    </row>
    <row r="223" spans="1:5" s="4" customFormat="1" ht="18" customHeight="1">
      <c r="A223" s="3" t="str">
        <f>"21342019072712274794670"</f>
        <v>21342019072712274794670</v>
      </c>
      <c r="B223" s="3" t="s">
        <v>6</v>
      </c>
      <c r="C223" s="3" t="str">
        <f>"羊芳"</f>
        <v>羊芳</v>
      </c>
      <c r="D223" s="3" t="str">
        <f t="shared" si="3"/>
        <v>女</v>
      </c>
      <c r="E223" s="3" t="str">
        <f>"1994-10-09"</f>
        <v>1994-10-09</v>
      </c>
    </row>
    <row r="224" spans="1:5" s="4" customFormat="1" ht="18" customHeight="1">
      <c r="A224" s="3" t="str">
        <f>"21342019072712281294671"</f>
        <v>21342019072712281294671</v>
      </c>
      <c r="B224" s="3" t="s">
        <v>6</v>
      </c>
      <c r="C224" s="3" t="str">
        <f>"吴华恋"</f>
        <v>吴华恋</v>
      </c>
      <c r="D224" s="3" t="str">
        <f t="shared" si="3"/>
        <v>女</v>
      </c>
      <c r="E224" s="3" t="str">
        <f>"1997-02-01"</f>
        <v>1997-02-01</v>
      </c>
    </row>
    <row r="225" spans="1:5" s="4" customFormat="1" ht="18" customHeight="1">
      <c r="A225" s="3" t="str">
        <f>"21342019072712285794672"</f>
        <v>21342019072712285794672</v>
      </c>
      <c r="B225" s="3" t="s">
        <v>6</v>
      </c>
      <c r="C225" s="3" t="str">
        <f>"林嘉慧"</f>
        <v>林嘉慧</v>
      </c>
      <c r="D225" s="3" t="str">
        <f t="shared" si="3"/>
        <v>女</v>
      </c>
      <c r="E225" s="3" t="str">
        <f>"1994-09-14"</f>
        <v>1994-09-14</v>
      </c>
    </row>
    <row r="226" spans="1:5" s="4" customFormat="1" ht="18" customHeight="1">
      <c r="A226" s="3" t="str">
        <f>"21342019072712295994674"</f>
        <v>21342019072712295994674</v>
      </c>
      <c r="B226" s="3" t="s">
        <v>6</v>
      </c>
      <c r="C226" s="3" t="str">
        <f>"谢燕妹"</f>
        <v>谢燕妹</v>
      </c>
      <c r="D226" s="3" t="str">
        <f t="shared" si="3"/>
        <v>女</v>
      </c>
      <c r="E226" s="3" t="str">
        <f>"1995-12-13"</f>
        <v>1995-12-13</v>
      </c>
    </row>
    <row r="227" spans="1:5" s="4" customFormat="1" ht="18" customHeight="1">
      <c r="A227" s="3" t="str">
        <f>"21342019072712305094675"</f>
        <v>21342019072712305094675</v>
      </c>
      <c r="B227" s="3" t="s">
        <v>6</v>
      </c>
      <c r="C227" s="3" t="str">
        <f>"潘奕亦"</f>
        <v>潘奕亦</v>
      </c>
      <c r="D227" s="3" t="str">
        <f t="shared" si="3"/>
        <v>女</v>
      </c>
      <c r="E227" s="3" t="str">
        <f>"1996-10-28"</f>
        <v>1996-10-28</v>
      </c>
    </row>
    <row r="228" spans="1:5" s="4" customFormat="1" ht="18" customHeight="1">
      <c r="A228" s="3" t="str">
        <f>"21342019072712313094676"</f>
        <v>21342019072712313094676</v>
      </c>
      <c r="B228" s="3" t="s">
        <v>6</v>
      </c>
      <c r="C228" s="3" t="str">
        <f>"王楠楠"</f>
        <v>王楠楠</v>
      </c>
      <c r="D228" s="3" t="str">
        <f t="shared" si="3"/>
        <v>女</v>
      </c>
      <c r="E228" s="3" t="str">
        <f>"1993-03-14"</f>
        <v>1993-03-14</v>
      </c>
    </row>
    <row r="229" spans="1:5" s="4" customFormat="1" ht="18" customHeight="1">
      <c r="A229" s="3" t="str">
        <f>"21342019072712321294677"</f>
        <v>21342019072712321294677</v>
      </c>
      <c r="B229" s="3" t="s">
        <v>6</v>
      </c>
      <c r="C229" s="3" t="str">
        <f>"曾巧巧"</f>
        <v>曾巧巧</v>
      </c>
      <c r="D229" s="3" t="str">
        <f t="shared" si="3"/>
        <v>女</v>
      </c>
      <c r="E229" s="3" t="str">
        <f>"1996-02-08"</f>
        <v>1996-02-08</v>
      </c>
    </row>
    <row r="230" spans="1:5" s="4" customFormat="1" ht="18" customHeight="1">
      <c r="A230" s="3" t="str">
        <f>"21342019072712322194678"</f>
        <v>21342019072712322194678</v>
      </c>
      <c r="B230" s="3" t="s">
        <v>6</v>
      </c>
      <c r="C230" s="3" t="str">
        <f>"谢海联"</f>
        <v>谢海联</v>
      </c>
      <c r="D230" s="3" t="str">
        <f t="shared" si="3"/>
        <v>女</v>
      </c>
      <c r="E230" s="3" t="str">
        <f>"1995-12-21"</f>
        <v>1995-12-21</v>
      </c>
    </row>
    <row r="231" spans="1:5" s="4" customFormat="1" ht="18" customHeight="1">
      <c r="A231" s="3" t="str">
        <f>"21342019072712331494679"</f>
        <v>21342019072712331494679</v>
      </c>
      <c r="B231" s="3" t="s">
        <v>6</v>
      </c>
      <c r="C231" s="3" t="str">
        <f>"莫艳菲"</f>
        <v>莫艳菲</v>
      </c>
      <c r="D231" s="3" t="str">
        <f t="shared" si="3"/>
        <v>女</v>
      </c>
      <c r="E231" s="3" t="str">
        <f>"1992-01-20"</f>
        <v>1992-01-20</v>
      </c>
    </row>
    <row r="232" spans="1:5" s="4" customFormat="1" ht="18" customHeight="1">
      <c r="A232" s="3" t="str">
        <f>"21342019072712342094680"</f>
        <v>21342019072712342094680</v>
      </c>
      <c r="B232" s="3" t="s">
        <v>6</v>
      </c>
      <c r="C232" s="3" t="str">
        <f>"王长茹"</f>
        <v>王长茹</v>
      </c>
      <c r="D232" s="3" t="str">
        <f t="shared" si="3"/>
        <v>女</v>
      </c>
      <c r="E232" s="3" t="str">
        <f>"1992-08-10"</f>
        <v>1992-08-10</v>
      </c>
    </row>
    <row r="233" spans="1:5" s="4" customFormat="1" ht="18" customHeight="1">
      <c r="A233" s="3" t="str">
        <f>"21342019072712352994683"</f>
        <v>21342019072712352994683</v>
      </c>
      <c r="B233" s="3" t="s">
        <v>6</v>
      </c>
      <c r="C233" s="3" t="str">
        <f>"唐小霞"</f>
        <v>唐小霞</v>
      </c>
      <c r="D233" s="3" t="str">
        <f t="shared" si="3"/>
        <v>女</v>
      </c>
      <c r="E233" s="3" t="str">
        <f>"1990-10-20"</f>
        <v>1990-10-20</v>
      </c>
    </row>
    <row r="234" spans="1:5" s="4" customFormat="1" ht="18" customHeight="1">
      <c r="A234" s="3" t="str">
        <f>"21342019072712363994684"</f>
        <v>21342019072712363994684</v>
      </c>
      <c r="B234" s="3" t="s">
        <v>6</v>
      </c>
      <c r="C234" s="3" t="str">
        <f>"曾灵灵"</f>
        <v>曾灵灵</v>
      </c>
      <c r="D234" s="3" t="str">
        <f t="shared" si="3"/>
        <v>女</v>
      </c>
      <c r="E234" s="3" t="str">
        <f>"1995-06-19"</f>
        <v>1995-06-19</v>
      </c>
    </row>
    <row r="235" spans="1:5" s="4" customFormat="1" ht="18" customHeight="1">
      <c r="A235" s="3" t="str">
        <f>"21342019072712403894687"</f>
        <v>21342019072712403894687</v>
      </c>
      <c r="B235" s="3" t="s">
        <v>6</v>
      </c>
      <c r="C235" s="3" t="str">
        <f>"许智闻"</f>
        <v>许智闻</v>
      </c>
      <c r="D235" s="3" t="str">
        <f t="shared" si="3"/>
        <v>女</v>
      </c>
      <c r="E235" s="3" t="str">
        <f>"1994-03-28"</f>
        <v>1994-03-28</v>
      </c>
    </row>
    <row r="236" spans="1:5" s="4" customFormat="1" ht="18" customHeight="1">
      <c r="A236" s="3" t="str">
        <f>"21342019072712470094694"</f>
        <v>21342019072712470094694</v>
      </c>
      <c r="B236" s="3" t="s">
        <v>6</v>
      </c>
      <c r="C236" s="3" t="str">
        <f>"郑秋莹"</f>
        <v>郑秋莹</v>
      </c>
      <c r="D236" s="3" t="str">
        <f t="shared" si="3"/>
        <v>女</v>
      </c>
      <c r="E236" s="3" t="str">
        <f>"1996-09-28"</f>
        <v>1996-09-28</v>
      </c>
    </row>
    <row r="237" spans="1:5" s="4" customFormat="1" ht="18" customHeight="1">
      <c r="A237" s="3" t="str">
        <f>"21342019072712510594700"</f>
        <v>21342019072712510594700</v>
      </c>
      <c r="B237" s="3" t="s">
        <v>6</v>
      </c>
      <c r="C237" s="3" t="str">
        <f>"吴春燕"</f>
        <v>吴春燕</v>
      </c>
      <c r="D237" s="3" t="str">
        <f t="shared" si="3"/>
        <v>女</v>
      </c>
      <c r="E237" s="3" t="str">
        <f>"1993-12-12"</f>
        <v>1993-12-12</v>
      </c>
    </row>
    <row r="238" spans="1:5" s="4" customFormat="1" ht="18" customHeight="1">
      <c r="A238" s="3" t="str">
        <f>"21342019072712521794701"</f>
        <v>21342019072712521794701</v>
      </c>
      <c r="B238" s="3" t="s">
        <v>6</v>
      </c>
      <c r="C238" s="3" t="str">
        <f>"陈凯程"</f>
        <v>陈凯程</v>
      </c>
      <c r="D238" s="3" t="str">
        <f t="shared" si="3"/>
        <v>女</v>
      </c>
      <c r="E238" s="3" t="str">
        <f>"1995-10-20"</f>
        <v>1995-10-20</v>
      </c>
    </row>
    <row r="239" spans="1:5" s="4" customFormat="1" ht="18" customHeight="1">
      <c r="A239" s="3" t="str">
        <f>"21342019072712550794704"</f>
        <v>21342019072712550794704</v>
      </c>
      <c r="B239" s="3" t="s">
        <v>6</v>
      </c>
      <c r="C239" s="3" t="str">
        <f>"谢桃玉"</f>
        <v>谢桃玉</v>
      </c>
      <c r="D239" s="3" t="str">
        <f t="shared" si="3"/>
        <v>女</v>
      </c>
      <c r="E239" s="3" t="str">
        <f>"1997-11-14"</f>
        <v>1997-11-14</v>
      </c>
    </row>
    <row r="240" spans="1:5" s="4" customFormat="1" ht="18" customHeight="1">
      <c r="A240" s="3" t="str">
        <f>"21342019072712560294706"</f>
        <v>21342019072712560294706</v>
      </c>
      <c r="B240" s="3" t="s">
        <v>6</v>
      </c>
      <c r="C240" s="3" t="str">
        <f>"陈媚"</f>
        <v>陈媚</v>
      </c>
      <c r="D240" s="3" t="str">
        <f t="shared" si="3"/>
        <v>女</v>
      </c>
      <c r="E240" s="3" t="str">
        <f>"1991-02-15"</f>
        <v>1991-02-15</v>
      </c>
    </row>
    <row r="241" spans="1:5" s="4" customFormat="1" ht="18" customHeight="1">
      <c r="A241" s="3" t="str">
        <f>"21342019072712571694709"</f>
        <v>21342019072712571694709</v>
      </c>
      <c r="B241" s="3" t="s">
        <v>6</v>
      </c>
      <c r="C241" s="3" t="str">
        <f>"王可妹"</f>
        <v>王可妹</v>
      </c>
      <c r="D241" s="3" t="str">
        <f t="shared" si="3"/>
        <v>女</v>
      </c>
      <c r="E241" s="3" t="str">
        <f>"1992-05-10"</f>
        <v>1992-05-10</v>
      </c>
    </row>
    <row r="242" spans="1:5" s="4" customFormat="1" ht="18" customHeight="1">
      <c r="A242" s="3" t="str">
        <f>"21342019072712582894711"</f>
        <v>21342019072712582894711</v>
      </c>
      <c r="B242" s="3" t="s">
        <v>6</v>
      </c>
      <c r="C242" s="3" t="str">
        <f>"陈丽那"</f>
        <v>陈丽那</v>
      </c>
      <c r="D242" s="3" t="str">
        <f t="shared" si="3"/>
        <v>女</v>
      </c>
      <c r="E242" s="3" t="str">
        <f>"1995-07-06"</f>
        <v>1995-07-06</v>
      </c>
    </row>
    <row r="243" spans="1:5" s="4" customFormat="1" ht="18" customHeight="1">
      <c r="A243" s="3" t="str">
        <f>"21342019072712592594714"</f>
        <v>21342019072712592594714</v>
      </c>
      <c r="B243" s="3" t="s">
        <v>6</v>
      </c>
      <c r="C243" s="3" t="str">
        <f>"吴欢"</f>
        <v>吴欢</v>
      </c>
      <c r="D243" s="3" t="str">
        <f t="shared" si="3"/>
        <v>女</v>
      </c>
      <c r="E243" s="3" t="str">
        <f>"1991-07-10"</f>
        <v>1991-07-10</v>
      </c>
    </row>
    <row r="244" spans="1:5" s="4" customFormat="1" ht="18" customHeight="1">
      <c r="A244" s="3" t="str">
        <f>"21342019072713030494716"</f>
        <v>21342019072713030494716</v>
      </c>
      <c r="B244" s="3" t="s">
        <v>6</v>
      </c>
      <c r="C244" s="3" t="str">
        <f>"唐亚连"</f>
        <v>唐亚连</v>
      </c>
      <c r="D244" s="3" t="str">
        <f t="shared" si="3"/>
        <v>女</v>
      </c>
      <c r="E244" s="3" t="str">
        <f>"1993-11-02"</f>
        <v>1993-11-02</v>
      </c>
    </row>
    <row r="245" spans="1:5" s="4" customFormat="1" ht="18" customHeight="1">
      <c r="A245" s="3" t="str">
        <f>"21342019072713044194718"</f>
        <v>21342019072713044194718</v>
      </c>
      <c r="B245" s="3" t="s">
        <v>6</v>
      </c>
      <c r="C245" s="3" t="str">
        <f>"陈秋菊"</f>
        <v>陈秋菊</v>
      </c>
      <c r="D245" s="3" t="str">
        <f t="shared" si="3"/>
        <v>女</v>
      </c>
      <c r="E245" s="3" t="str">
        <f>"1991-08-14"</f>
        <v>1991-08-14</v>
      </c>
    </row>
    <row r="246" spans="1:5" s="4" customFormat="1" ht="18" customHeight="1">
      <c r="A246" s="3" t="str">
        <f>"21342019072713060694719"</f>
        <v>21342019072713060694719</v>
      </c>
      <c r="B246" s="3" t="s">
        <v>6</v>
      </c>
      <c r="C246" s="3" t="str">
        <f>"黄克娇"</f>
        <v>黄克娇</v>
      </c>
      <c r="D246" s="3" t="str">
        <f t="shared" si="3"/>
        <v>女</v>
      </c>
      <c r="E246" s="3" t="str">
        <f>"1992-12-10"</f>
        <v>1992-12-10</v>
      </c>
    </row>
    <row r="247" spans="1:5" s="4" customFormat="1" ht="18" customHeight="1">
      <c r="A247" s="3" t="str">
        <f>"21342019072713080394722"</f>
        <v>21342019072713080394722</v>
      </c>
      <c r="B247" s="3" t="s">
        <v>6</v>
      </c>
      <c r="C247" s="3" t="str">
        <f>"谢惠芝"</f>
        <v>谢惠芝</v>
      </c>
      <c r="D247" s="3" t="str">
        <f t="shared" si="3"/>
        <v>女</v>
      </c>
      <c r="E247" s="3" t="str">
        <f>"1991-02-24"</f>
        <v>1991-02-24</v>
      </c>
    </row>
    <row r="248" spans="1:5" s="4" customFormat="1" ht="18" customHeight="1">
      <c r="A248" s="3" t="str">
        <f>"21342019072713120394727"</f>
        <v>21342019072713120394727</v>
      </c>
      <c r="B248" s="3" t="s">
        <v>6</v>
      </c>
      <c r="C248" s="3" t="str">
        <f>"王如娴"</f>
        <v>王如娴</v>
      </c>
      <c r="D248" s="3" t="str">
        <f t="shared" si="3"/>
        <v>女</v>
      </c>
      <c r="E248" s="3" t="str">
        <f>"1997-10-08"</f>
        <v>1997-10-08</v>
      </c>
    </row>
    <row r="249" spans="1:5" s="4" customFormat="1" ht="18" customHeight="1">
      <c r="A249" s="3" t="str">
        <f>"21342019072713131494729"</f>
        <v>21342019072713131494729</v>
      </c>
      <c r="B249" s="3" t="s">
        <v>6</v>
      </c>
      <c r="C249" s="3" t="str">
        <f>"许萍叶"</f>
        <v>许萍叶</v>
      </c>
      <c r="D249" s="3" t="str">
        <f t="shared" si="3"/>
        <v>女</v>
      </c>
      <c r="E249" s="3" t="str">
        <f>"1998-02-21"</f>
        <v>1998-02-21</v>
      </c>
    </row>
    <row r="250" spans="1:5" s="4" customFormat="1" ht="18" customHeight="1">
      <c r="A250" s="3" t="str">
        <f>"21342019072713134994730"</f>
        <v>21342019072713134994730</v>
      </c>
      <c r="B250" s="3" t="s">
        <v>6</v>
      </c>
      <c r="C250" s="3" t="str">
        <f>"陈联枝"</f>
        <v>陈联枝</v>
      </c>
      <c r="D250" s="3" t="str">
        <f t="shared" si="3"/>
        <v>女</v>
      </c>
      <c r="E250" s="3" t="str">
        <f>"1993-12-22"</f>
        <v>1993-12-22</v>
      </c>
    </row>
    <row r="251" spans="1:5" s="4" customFormat="1" ht="18" customHeight="1">
      <c r="A251" s="3" t="str">
        <f>"21342019072713144994731"</f>
        <v>21342019072713144994731</v>
      </c>
      <c r="B251" s="3" t="s">
        <v>6</v>
      </c>
      <c r="C251" s="3" t="str">
        <f>"王瑜"</f>
        <v>王瑜</v>
      </c>
      <c r="D251" s="3" t="str">
        <f t="shared" si="3"/>
        <v>女</v>
      </c>
      <c r="E251" s="3" t="str">
        <f>"1989-10-21"</f>
        <v>1989-10-21</v>
      </c>
    </row>
    <row r="252" spans="1:5" s="4" customFormat="1" ht="18" customHeight="1">
      <c r="A252" s="3" t="str">
        <f>"21342019072713160194734"</f>
        <v>21342019072713160194734</v>
      </c>
      <c r="B252" s="3" t="s">
        <v>6</v>
      </c>
      <c r="C252" s="3" t="str">
        <f>"符传妹"</f>
        <v>符传妹</v>
      </c>
      <c r="D252" s="3" t="str">
        <f t="shared" si="3"/>
        <v>女</v>
      </c>
      <c r="E252" s="3" t="str">
        <f>"1989-10-21"</f>
        <v>1989-10-21</v>
      </c>
    </row>
    <row r="253" spans="1:5" s="4" customFormat="1" ht="18" customHeight="1">
      <c r="A253" s="3" t="str">
        <f>"21342019072713170394737"</f>
        <v>21342019072713170394737</v>
      </c>
      <c r="B253" s="3" t="s">
        <v>6</v>
      </c>
      <c r="C253" s="3" t="str">
        <f>"王会莎"</f>
        <v>王会莎</v>
      </c>
      <c r="D253" s="3" t="str">
        <f t="shared" si="3"/>
        <v>女</v>
      </c>
      <c r="E253" s="3" t="str">
        <f>"1996-08-20"</f>
        <v>1996-08-20</v>
      </c>
    </row>
    <row r="254" spans="1:5" s="4" customFormat="1" ht="18" customHeight="1">
      <c r="A254" s="3" t="str">
        <f>"21342019072713170494738"</f>
        <v>21342019072713170494738</v>
      </c>
      <c r="B254" s="3" t="s">
        <v>6</v>
      </c>
      <c r="C254" s="3" t="str">
        <f>"李美芬"</f>
        <v>李美芬</v>
      </c>
      <c r="D254" s="3" t="str">
        <f t="shared" si="3"/>
        <v>女</v>
      </c>
      <c r="E254" s="3" t="str">
        <f>"1995-10-15"</f>
        <v>1995-10-15</v>
      </c>
    </row>
    <row r="255" spans="1:5" s="4" customFormat="1" ht="18" customHeight="1">
      <c r="A255" s="3" t="str">
        <f>"21342019072713173494739"</f>
        <v>21342019072713173494739</v>
      </c>
      <c r="B255" s="3" t="s">
        <v>6</v>
      </c>
      <c r="C255" s="3" t="str">
        <f>"邓井爱"</f>
        <v>邓井爱</v>
      </c>
      <c r="D255" s="3" t="str">
        <f t="shared" si="3"/>
        <v>女</v>
      </c>
      <c r="E255" s="3" t="str">
        <f>"1989-09-14"</f>
        <v>1989-09-14</v>
      </c>
    </row>
    <row r="256" spans="1:5" s="4" customFormat="1" ht="18" customHeight="1">
      <c r="A256" s="3" t="str">
        <f>"21342019072713181794740"</f>
        <v>21342019072713181794740</v>
      </c>
      <c r="B256" s="3" t="s">
        <v>6</v>
      </c>
      <c r="C256" s="3" t="str">
        <f>"聂清龄"</f>
        <v>聂清龄</v>
      </c>
      <c r="D256" s="3" t="str">
        <f t="shared" si="3"/>
        <v>女</v>
      </c>
      <c r="E256" s="3" t="str">
        <f>"1992-02-28"</f>
        <v>1992-02-28</v>
      </c>
    </row>
    <row r="257" spans="1:5" s="4" customFormat="1" ht="18" customHeight="1">
      <c r="A257" s="3" t="str">
        <f>"21342019072713195694741"</f>
        <v>21342019072713195694741</v>
      </c>
      <c r="B257" s="3" t="s">
        <v>6</v>
      </c>
      <c r="C257" s="3" t="str">
        <f>"李惠琼"</f>
        <v>李惠琼</v>
      </c>
      <c r="D257" s="3" t="str">
        <f t="shared" si="3"/>
        <v>女</v>
      </c>
      <c r="E257" s="3" t="str">
        <f>"1994-05-29"</f>
        <v>1994-05-29</v>
      </c>
    </row>
    <row r="258" spans="1:5" s="4" customFormat="1" ht="18" customHeight="1">
      <c r="A258" s="3" t="str">
        <f>"21342019072713200594742"</f>
        <v>21342019072713200594742</v>
      </c>
      <c r="B258" s="3" t="s">
        <v>6</v>
      </c>
      <c r="C258" s="3" t="str">
        <f>"吴萍"</f>
        <v>吴萍</v>
      </c>
      <c r="D258" s="3" t="str">
        <f t="shared" si="3"/>
        <v>女</v>
      </c>
      <c r="E258" s="3" t="str">
        <f>"1992-12-21"</f>
        <v>1992-12-21</v>
      </c>
    </row>
    <row r="259" spans="1:5" s="4" customFormat="1" ht="18" customHeight="1">
      <c r="A259" s="3" t="str">
        <f>"21342019072713204494743"</f>
        <v>21342019072713204494743</v>
      </c>
      <c r="B259" s="3" t="s">
        <v>6</v>
      </c>
      <c r="C259" s="3" t="str">
        <f>"刘芳娜"</f>
        <v>刘芳娜</v>
      </c>
      <c r="D259" s="3" t="str">
        <f aca="true" t="shared" si="4" ref="D259:D322">"女"</f>
        <v>女</v>
      </c>
      <c r="E259" s="3" t="str">
        <f>"1992-07-06"</f>
        <v>1992-07-06</v>
      </c>
    </row>
    <row r="260" spans="1:5" s="4" customFormat="1" ht="18" customHeight="1">
      <c r="A260" s="3" t="str">
        <f>"21342019072713225194744"</f>
        <v>21342019072713225194744</v>
      </c>
      <c r="B260" s="3" t="s">
        <v>6</v>
      </c>
      <c r="C260" s="3" t="str">
        <f>"陈贝贝"</f>
        <v>陈贝贝</v>
      </c>
      <c r="D260" s="3" t="str">
        <f t="shared" si="4"/>
        <v>女</v>
      </c>
      <c r="E260" s="3" t="str">
        <f>"1997-08-24"</f>
        <v>1997-08-24</v>
      </c>
    </row>
    <row r="261" spans="1:5" s="4" customFormat="1" ht="18" customHeight="1">
      <c r="A261" s="3" t="str">
        <f>"21342019072713262594749"</f>
        <v>21342019072713262594749</v>
      </c>
      <c r="B261" s="3" t="s">
        <v>6</v>
      </c>
      <c r="C261" s="3" t="str">
        <f>"文秋惠"</f>
        <v>文秋惠</v>
      </c>
      <c r="D261" s="3" t="str">
        <f t="shared" si="4"/>
        <v>女</v>
      </c>
      <c r="E261" s="3" t="str">
        <f>"1990-12-10"</f>
        <v>1990-12-10</v>
      </c>
    </row>
    <row r="262" spans="1:5" s="4" customFormat="1" ht="18" customHeight="1">
      <c r="A262" s="3" t="str">
        <f>"21342019072713273994750"</f>
        <v>21342019072713273994750</v>
      </c>
      <c r="B262" s="3" t="s">
        <v>6</v>
      </c>
      <c r="C262" s="3" t="str">
        <f>"黎菊女"</f>
        <v>黎菊女</v>
      </c>
      <c r="D262" s="3" t="str">
        <f t="shared" si="4"/>
        <v>女</v>
      </c>
      <c r="E262" s="3" t="str">
        <f>"1994-03-02"</f>
        <v>1994-03-02</v>
      </c>
    </row>
    <row r="263" spans="1:5" s="4" customFormat="1" ht="18" customHeight="1">
      <c r="A263" s="3" t="str">
        <f>"21342019072713282094751"</f>
        <v>21342019072713282094751</v>
      </c>
      <c r="B263" s="3" t="s">
        <v>6</v>
      </c>
      <c r="C263" s="3" t="str">
        <f>"卢运双"</f>
        <v>卢运双</v>
      </c>
      <c r="D263" s="3" t="str">
        <f t="shared" si="4"/>
        <v>女</v>
      </c>
      <c r="E263" s="3" t="str">
        <f>"1994-07-30"</f>
        <v>1994-07-30</v>
      </c>
    </row>
    <row r="264" spans="1:5" s="4" customFormat="1" ht="18" customHeight="1">
      <c r="A264" s="3" t="str">
        <f>"21342019072713283294752"</f>
        <v>21342019072713283294752</v>
      </c>
      <c r="B264" s="3" t="s">
        <v>6</v>
      </c>
      <c r="C264" s="3" t="str">
        <f>"刘佳佳"</f>
        <v>刘佳佳</v>
      </c>
      <c r="D264" s="3" t="str">
        <f t="shared" si="4"/>
        <v>女</v>
      </c>
      <c r="E264" s="3" t="str">
        <f>"1996-10-20"</f>
        <v>1996-10-20</v>
      </c>
    </row>
    <row r="265" spans="1:5" s="4" customFormat="1" ht="18" customHeight="1">
      <c r="A265" s="3" t="str">
        <f>"21342019072713355994756"</f>
        <v>21342019072713355994756</v>
      </c>
      <c r="B265" s="3" t="s">
        <v>6</v>
      </c>
      <c r="C265" s="3" t="str">
        <f>"王丽平"</f>
        <v>王丽平</v>
      </c>
      <c r="D265" s="3" t="str">
        <f t="shared" si="4"/>
        <v>女</v>
      </c>
      <c r="E265" s="3" t="str">
        <f>"1992-05-13"</f>
        <v>1992-05-13</v>
      </c>
    </row>
    <row r="266" spans="1:5" s="4" customFormat="1" ht="18" customHeight="1">
      <c r="A266" s="3" t="str">
        <f>"21342019072713363994757"</f>
        <v>21342019072713363994757</v>
      </c>
      <c r="B266" s="3" t="s">
        <v>6</v>
      </c>
      <c r="C266" s="3" t="str">
        <f>"吴选儒"</f>
        <v>吴选儒</v>
      </c>
      <c r="D266" s="3" t="str">
        <f t="shared" si="4"/>
        <v>女</v>
      </c>
      <c r="E266" s="3" t="str">
        <f>"1991-07-02"</f>
        <v>1991-07-02</v>
      </c>
    </row>
    <row r="267" spans="1:5" s="4" customFormat="1" ht="18" customHeight="1">
      <c r="A267" s="3" t="str">
        <f>"21342019072713382894760"</f>
        <v>21342019072713382894760</v>
      </c>
      <c r="B267" s="3" t="s">
        <v>6</v>
      </c>
      <c r="C267" s="3" t="str">
        <f>"李晓莹"</f>
        <v>李晓莹</v>
      </c>
      <c r="D267" s="3" t="str">
        <f t="shared" si="4"/>
        <v>女</v>
      </c>
      <c r="E267" s="3" t="str">
        <f>"1997-11-03"</f>
        <v>1997-11-03</v>
      </c>
    </row>
    <row r="268" spans="1:5" s="4" customFormat="1" ht="18" customHeight="1">
      <c r="A268" s="3" t="str">
        <f>"21342019072713453694763"</f>
        <v>21342019072713453694763</v>
      </c>
      <c r="B268" s="3" t="s">
        <v>6</v>
      </c>
      <c r="C268" s="3" t="str">
        <f>"王丽婷"</f>
        <v>王丽婷</v>
      </c>
      <c r="D268" s="3" t="str">
        <f t="shared" si="4"/>
        <v>女</v>
      </c>
      <c r="E268" s="3" t="str">
        <f>"1996-06-17"</f>
        <v>1996-06-17</v>
      </c>
    </row>
    <row r="269" spans="1:5" s="4" customFormat="1" ht="18" customHeight="1">
      <c r="A269" s="3" t="str">
        <f>"21342019072713460594764"</f>
        <v>21342019072713460594764</v>
      </c>
      <c r="B269" s="3" t="s">
        <v>6</v>
      </c>
      <c r="C269" s="3" t="str">
        <f>"郑惠艳"</f>
        <v>郑惠艳</v>
      </c>
      <c r="D269" s="3" t="str">
        <f t="shared" si="4"/>
        <v>女</v>
      </c>
      <c r="E269" s="3" t="str">
        <f>"1994-01-02"</f>
        <v>1994-01-02</v>
      </c>
    </row>
    <row r="270" spans="1:5" s="4" customFormat="1" ht="18" customHeight="1">
      <c r="A270" s="3" t="str">
        <f>"21342019072713475194765"</f>
        <v>21342019072713475194765</v>
      </c>
      <c r="B270" s="3" t="s">
        <v>6</v>
      </c>
      <c r="C270" s="3" t="str">
        <f>"周晶"</f>
        <v>周晶</v>
      </c>
      <c r="D270" s="3" t="str">
        <f t="shared" si="4"/>
        <v>女</v>
      </c>
      <c r="E270" s="3" t="str">
        <f>"1994-04-05"</f>
        <v>1994-04-05</v>
      </c>
    </row>
    <row r="271" spans="1:5" s="4" customFormat="1" ht="18" customHeight="1">
      <c r="A271" s="3" t="str">
        <f>"21342019072713492194766"</f>
        <v>21342019072713492194766</v>
      </c>
      <c r="B271" s="3" t="s">
        <v>6</v>
      </c>
      <c r="C271" s="3" t="str">
        <f>"李秋娣"</f>
        <v>李秋娣</v>
      </c>
      <c r="D271" s="3" t="str">
        <f t="shared" si="4"/>
        <v>女</v>
      </c>
      <c r="E271" s="3" t="str">
        <f>"1993-10-06"</f>
        <v>1993-10-06</v>
      </c>
    </row>
    <row r="272" spans="1:5" s="4" customFormat="1" ht="18" customHeight="1">
      <c r="A272" s="3" t="str">
        <f>"21342019072713520294770"</f>
        <v>21342019072713520294770</v>
      </c>
      <c r="B272" s="3" t="s">
        <v>6</v>
      </c>
      <c r="C272" s="3" t="str">
        <f>"苏运香"</f>
        <v>苏运香</v>
      </c>
      <c r="D272" s="3" t="str">
        <f t="shared" si="4"/>
        <v>女</v>
      </c>
      <c r="E272" s="3" t="str">
        <f>"1991-10-20"</f>
        <v>1991-10-20</v>
      </c>
    </row>
    <row r="273" spans="1:5" s="4" customFormat="1" ht="18" customHeight="1">
      <c r="A273" s="3" t="str">
        <f>"21342019072713521694771"</f>
        <v>21342019072713521694771</v>
      </c>
      <c r="B273" s="3" t="s">
        <v>6</v>
      </c>
      <c r="C273" s="3" t="str">
        <f>"符坤艳"</f>
        <v>符坤艳</v>
      </c>
      <c r="D273" s="3" t="str">
        <f t="shared" si="4"/>
        <v>女</v>
      </c>
      <c r="E273" s="3" t="str">
        <f>"1990-10-15"</f>
        <v>1990-10-15</v>
      </c>
    </row>
    <row r="274" spans="1:5" s="4" customFormat="1" ht="18" customHeight="1">
      <c r="A274" s="3" t="str">
        <f>"21342019072713531794774"</f>
        <v>21342019072713531794774</v>
      </c>
      <c r="B274" s="3" t="s">
        <v>6</v>
      </c>
      <c r="C274" s="3" t="str">
        <f>"冯海英"</f>
        <v>冯海英</v>
      </c>
      <c r="D274" s="3" t="str">
        <f t="shared" si="4"/>
        <v>女</v>
      </c>
      <c r="E274" s="3" t="str">
        <f>"1996-11-07"</f>
        <v>1996-11-07</v>
      </c>
    </row>
    <row r="275" spans="1:5" s="4" customFormat="1" ht="18" customHeight="1">
      <c r="A275" s="3" t="str">
        <f>"21342019072713535194776"</f>
        <v>21342019072713535194776</v>
      </c>
      <c r="B275" s="3" t="s">
        <v>6</v>
      </c>
      <c r="C275" s="3" t="str">
        <f>"钟惠"</f>
        <v>钟惠</v>
      </c>
      <c r="D275" s="3" t="str">
        <f t="shared" si="4"/>
        <v>女</v>
      </c>
      <c r="E275" s="3" t="str">
        <f>"1990-12-07"</f>
        <v>1990-12-07</v>
      </c>
    </row>
    <row r="276" spans="1:5" s="4" customFormat="1" ht="18" customHeight="1">
      <c r="A276" s="3" t="str">
        <f>"21342019072713550194778"</f>
        <v>21342019072713550194778</v>
      </c>
      <c r="B276" s="3" t="s">
        <v>6</v>
      </c>
      <c r="C276" s="3" t="str">
        <f>"李海旧"</f>
        <v>李海旧</v>
      </c>
      <c r="D276" s="3" t="str">
        <f t="shared" si="4"/>
        <v>女</v>
      </c>
      <c r="E276" s="3" t="str">
        <f>"1990-03-06"</f>
        <v>1990-03-06</v>
      </c>
    </row>
    <row r="277" spans="1:5" s="4" customFormat="1" ht="18" customHeight="1">
      <c r="A277" s="3" t="str">
        <f>"21342019072714031494787"</f>
        <v>21342019072714031494787</v>
      </c>
      <c r="B277" s="3" t="s">
        <v>6</v>
      </c>
      <c r="C277" s="3" t="str">
        <f>"唐丽虹"</f>
        <v>唐丽虹</v>
      </c>
      <c r="D277" s="3" t="str">
        <f t="shared" si="4"/>
        <v>女</v>
      </c>
      <c r="E277" s="3" t="str">
        <f>"1995-01-12"</f>
        <v>1995-01-12</v>
      </c>
    </row>
    <row r="278" spans="1:5" s="4" customFormat="1" ht="18" customHeight="1">
      <c r="A278" s="3" t="str">
        <f>"21342019072714062994788"</f>
        <v>21342019072714062994788</v>
      </c>
      <c r="B278" s="3" t="s">
        <v>6</v>
      </c>
      <c r="C278" s="3" t="str">
        <f>"许永花"</f>
        <v>许永花</v>
      </c>
      <c r="D278" s="3" t="str">
        <f t="shared" si="4"/>
        <v>女</v>
      </c>
      <c r="E278" s="3" t="str">
        <f>"1993-03-05"</f>
        <v>1993-03-05</v>
      </c>
    </row>
    <row r="279" spans="1:5" s="4" customFormat="1" ht="18" customHeight="1">
      <c r="A279" s="3" t="str">
        <f>"21342019072714091994792"</f>
        <v>21342019072714091994792</v>
      </c>
      <c r="B279" s="3" t="s">
        <v>6</v>
      </c>
      <c r="C279" s="3" t="str">
        <f>"唐以妃"</f>
        <v>唐以妃</v>
      </c>
      <c r="D279" s="3" t="str">
        <f t="shared" si="4"/>
        <v>女</v>
      </c>
      <c r="E279" s="3" t="str">
        <f>"1990-09-10"</f>
        <v>1990-09-10</v>
      </c>
    </row>
    <row r="280" spans="1:5" s="4" customFormat="1" ht="18" customHeight="1">
      <c r="A280" s="3" t="str">
        <f>"21342019072714095094793"</f>
        <v>21342019072714095094793</v>
      </c>
      <c r="B280" s="3" t="s">
        <v>6</v>
      </c>
      <c r="C280" s="3" t="str">
        <f>"符其丹"</f>
        <v>符其丹</v>
      </c>
      <c r="D280" s="3" t="str">
        <f t="shared" si="4"/>
        <v>女</v>
      </c>
      <c r="E280" s="3" t="str">
        <f>"1995-04-26"</f>
        <v>1995-04-26</v>
      </c>
    </row>
    <row r="281" spans="1:5" s="4" customFormat="1" ht="18" customHeight="1">
      <c r="A281" s="3" t="str">
        <f>"21342019072714141894799"</f>
        <v>21342019072714141894799</v>
      </c>
      <c r="B281" s="3" t="s">
        <v>6</v>
      </c>
      <c r="C281" s="3" t="str">
        <f>"范小仙"</f>
        <v>范小仙</v>
      </c>
      <c r="D281" s="3" t="str">
        <f t="shared" si="4"/>
        <v>女</v>
      </c>
      <c r="E281" s="3" t="str">
        <f>"1990-04-20"</f>
        <v>1990-04-20</v>
      </c>
    </row>
    <row r="282" spans="1:5" s="4" customFormat="1" ht="18" customHeight="1">
      <c r="A282" s="3" t="str">
        <f>"21342019072714151394800"</f>
        <v>21342019072714151394800</v>
      </c>
      <c r="B282" s="3" t="s">
        <v>6</v>
      </c>
      <c r="C282" s="3" t="str">
        <f>"凌菲菲"</f>
        <v>凌菲菲</v>
      </c>
      <c r="D282" s="3" t="str">
        <f t="shared" si="4"/>
        <v>女</v>
      </c>
      <c r="E282" s="3" t="str">
        <f>"1990-04-23"</f>
        <v>1990-04-23</v>
      </c>
    </row>
    <row r="283" spans="1:5" s="4" customFormat="1" ht="18" customHeight="1">
      <c r="A283" s="3" t="str">
        <f>"21342019072714162694802"</f>
        <v>21342019072714162694802</v>
      </c>
      <c r="B283" s="3" t="s">
        <v>6</v>
      </c>
      <c r="C283" s="3" t="str">
        <f>"陈积蕊"</f>
        <v>陈积蕊</v>
      </c>
      <c r="D283" s="3" t="str">
        <f t="shared" si="4"/>
        <v>女</v>
      </c>
      <c r="E283" s="3" t="str">
        <f>"1995-05-03"</f>
        <v>1995-05-03</v>
      </c>
    </row>
    <row r="284" spans="1:5" s="4" customFormat="1" ht="18" customHeight="1">
      <c r="A284" s="3" t="str">
        <f>"21342019072714175294804"</f>
        <v>21342019072714175294804</v>
      </c>
      <c r="B284" s="3" t="s">
        <v>6</v>
      </c>
      <c r="C284" s="3" t="str">
        <f>"周秀云"</f>
        <v>周秀云</v>
      </c>
      <c r="D284" s="3" t="str">
        <f t="shared" si="4"/>
        <v>女</v>
      </c>
      <c r="E284" s="3" t="str">
        <f>"1991-02-23"</f>
        <v>1991-02-23</v>
      </c>
    </row>
    <row r="285" spans="1:5" s="4" customFormat="1" ht="18" customHeight="1">
      <c r="A285" s="3" t="str">
        <f>"21342019072714184494805"</f>
        <v>21342019072714184494805</v>
      </c>
      <c r="B285" s="3" t="s">
        <v>6</v>
      </c>
      <c r="C285" s="3" t="str">
        <f>"羊精玲"</f>
        <v>羊精玲</v>
      </c>
      <c r="D285" s="3" t="str">
        <f t="shared" si="4"/>
        <v>女</v>
      </c>
      <c r="E285" s="3" t="str">
        <f>"1994-11-10"</f>
        <v>1994-11-10</v>
      </c>
    </row>
    <row r="286" spans="1:5" s="4" customFormat="1" ht="18" customHeight="1">
      <c r="A286" s="3" t="str">
        <f>"21342019072714191794806"</f>
        <v>21342019072714191794806</v>
      </c>
      <c r="B286" s="3" t="s">
        <v>6</v>
      </c>
      <c r="C286" s="3" t="str">
        <f>"陈钟兰"</f>
        <v>陈钟兰</v>
      </c>
      <c r="D286" s="3" t="str">
        <f t="shared" si="4"/>
        <v>女</v>
      </c>
      <c r="E286" s="3" t="str">
        <f>"1995-08-10"</f>
        <v>1995-08-10</v>
      </c>
    </row>
    <row r="287" spans="1:5" s="4" customFormat="1" ht="18" customHeight="1">
      <c r="A287" s="3" t="str">
        <f>"21342019072714204494807"</f>
        <v>21342019072714204494807</v>
      </c>
      <c r="B287" s="3" t="s">
        <v>6</v>
      </c>
      <c r="C287" s="3" t="str">
        <f>"陈双花"</f>
        <v>陈双花</v>
      </c>
      <c r="D287" s="3" t="str">
        <f t="shared" si="4"/>
        <v>女</v>
      </c>
      <c r="E287" s="3" t="str">
        <f>"1993-10-20"</f>
        <v>1993-10-20</v>
      </c>
    </row>
    <row r="288" spans="1:5" s="4" customFormat="1" ht="18" customHeight="1">
      <c r="A288" s="3" t="str">
        <f>"21342019072714212194808"</f>
        <v>21342019072714212194808</v>
      </c>
      <c r="B288" s="3" t="s">
        <v>6</v>
      </c>
      <c r="C288" s="3" t="str">
        <f>"符芳娟"</f>
        <v>符芳娟</v>
      </c>
      <c r="D288" s="3" t="str">
        <f t="shared" si="4"/>
        <v>女</v>
      </c>
      <c r="E288" s="3" t="str">
        <f>"1997-05-24"</f>
        <v>1997-05-24</v>
      </c>
    </row>
    <row r="289" spans="1:5" s="4" customFormat="1" ht="18" customHeight="1">
      <c r="A289" s="3" t="str">
        <f>"21342019072714235594811"</f>
        <v>21342019072714235594811</v>
      </c>
      <c r="B289" s="3" t="s">
        <v>6</v>
      </c>
      <c r="C289" s="3" t="str">
        <f>"吴俊秀"</f>
        <v>吴俊秀</v>
      </c>
      <c r="D289" s="3" t="str">
        <f t="shared" si="4"/>
        <v>女</v>
      </c>
      <c r="E289" s="3" t="str">
        <f>"1997-02-17"</f>
        <v>1997-02-17</v>
      </c>
    </row>
    <row r="290" spans="1:5" s="4" customFormat="1" ht="18" customHeight="1">
      <c r="A290" s="3" t="str">
        <f>"21342019072714271094813"</f>
        <v>21342019072714271094813</v>
      </c>
      <c r="B290" s="3" t="s">
        <v>6</v>
      </c>
      <c r="C290" s="3" t="str">
        <f>"姜俏君"</f>
        <v>姜俏君</v>
      </c>
      <c r="D290" s="3" t="str">
        <f t="shared" si="4"/>
        <v>女</v>
      </c>
      <c r="E290" s="3" t="str">
        <f>"1991-12-06"</f>
        <v>1991-12-06</v>
      </c>
    </row>
    <row r="291" spans="1:5" s="4" customFormat="1" ht="18" customHeight="1">
      <c r="A291" s="3" t="str">
        <f>"21342019072714325194818"</f>
        <v>21342019072714325194818</v>
      </c>
      <c r="B291" s="3" t="s">
        <v>6</v>
      </c>
      <c r="C291" s="3" t="str">
        <f>"王鸾秀"</f>
        <v>王鸾秀</v>
      </c>
      <c r="D291" s="3" t="str">
        <f t="shared" si="4"/>
        <v>女</v>
      </c>
      <c r="E291" s="3" t="str">
        <f>"1989-11-04"</f>
        <v>1989-11-04</v>
      </c>
    </row>
    <row r="292" spans="1:5" s="4" customFormat="1" ht="18" customHeight="1">
      <c r="A292" s="3" t="str">
        <f>"21342019072714344994819"</f>
        <v>21342019072714344994819</v>
      </c>
      <c r="B292" s="3" t="s">
        <v>6</v>
      </c>
      <c r="C292" s="3" t="str">
        <f>"覃艳虹"</f>
        <v>覃艳虹</v>
      </c>
      <c r="D292" s="3" t="str">
        <f t="shared" si="4"/>
        <v>女</v>
      </c>
      <c r="E292" s="3" t="str">
        <f>"1993-06-02"</f>
        <v>1993-06-02</v>
      </c>
    </row>
    <row r="293" spans="1:5" s="4" customFormat="1" ht="18" customHeight="1">
      <c r="A293" s="3" t="str">
        <f>"21342019072714353794820"</f>
        <v>21342019072714353794820</v>
      </c>
      <c r="B293" s="3" t="s">
        <v>6</v>
      </c>
      <c r="C293" s="3" t="str">
        <f>"潘思彤"</f>
        <v>潘思彤</v>
      </c>
      <c r="D293" s="3" t="str">
        <f t="shared" si="4"/>
        <v>女</v>
      </c>
      <c r="E293" s="3" t="str">
        <f>"1998-06-12"</f>
        <v>1998-06-12</v>
      </c>
    </row>
    <row r="294" spans="1:5" s="4" customFormat="1" ht="18" customHeight="1">
      <c r="A294" s="3" t="str">
        <f>"21342019072714360194821"</f>
        <v>21342019072714360194821</v>
      </c>
      <c r="B294" s="3" t="s">
        <v>6</v>
      </c>
      <c r="C294" s="3" t="str">
        <f>"王青"</f>
        <v>王青</v>
      </c>
      <c r="D294" s="3" t="str">
        <f t="shared" si="4"/>
        <v>女</v>
      </c>
      <c r="E294" s="3" t="str">
        <f>"1996-05-25"</f>
        <v>1996-05-25</v>
      </c>
    </row>
    <row r="295" spans="1:5" s="4" customFormat="1" ht="18" customHeight="1">
      <c r="A295" s="3" t="str">
        <f>"21342019072714392894825"</f>
        <v>21342019072714392894825</v>
      </c>
      <c r="B295" s="3" t="s">
        <v>6</v>
      </c>
      <c r="C295" s="3" t="str">
        <f>"曾黄霞"</f>
        <v>曾黄霞</v>
      </c>
      <c r="D295" s="3" t="str">
        <f t="shared" si="4"/>
        <v>女</v>
      </c>
      <c r="E295" s="3" t="str">
        <f>"1997-04-13"</f>
        <v>1997-04-13</v>
      </c>
    </row>
    <row r="296" spans="1:5" s="4" customFormat="1" ht="18" customHeight="1">
      <c r="A296" s="3" t="str">
        <f>"21342019072714485494828"</f>
        <v>21342019072714485494828</v>
      </c>
      <c r="B296" s="3" t="s">
        <v>6</v>
      </c>
      <c r="C296" s="3" t="str">
        <f>"麦明婉"</f>
        <v>麦明婉</v>
      </c>
      <c r="D296" s="3" t="str">
        <f t="shared" si="4"/>
        <v>女</v>
      </c>
      <c r="E296" s="3" t="str">
        <f>"1995-06-27"</f>
        <v>1995-06-27</v>
      </c>
    </row>
    <row r="297" spans="1:5" s="4" customFormat="1" ht="18" customHeight="1">
      <c r="A297" s="3" t="str">
        <f>"21342019072714524494829"</f>
        <v>21342019072714524494829</v>
      </c>
      <c r="B297" s="3" t="s">
        <v>6</v>
      </c>
      <c r="C297" s="3" t="str">
        <f>"陈玉玲"</f>
        <v>陈玉玲</v>
      </c>
      <c r="D297" s="3" t="str">
        <f t="shared" si="4"/>
        <v>女</v>
      </c>
      <c r="E297" s="3" t="str">
        <f>"1990-10-10"</f>
        <v>1990-10-10</v>
      </c>
    </row>
    <row r="298" spans="1:5" s="4" customFormat="1" ht="18" customHeight="1">
      <c r="A298" s="3" t="str">
        <f>"21342019072714530994830"</f>
        <v>21342019072714530994830</v>
      </c>
      <c r="B298" s="3" t="s">
        <v>6</v>
      </c>
      <c r="C298" s="3" t="str">
        <f>"刘龄丽"</f>
        <v>刘龄丽</v>
      </c>
      <c r="D298" s="3" t="str">
        <f t="shared" si="4"/>
        <v>女</v>
      </c>
      <c r="E298" s="3" t="str">
        <f>"1993-11-26"</f>
        <v>1993-11-26</v>
      </c>
    </row>
    <row r="299" spans="1:5" s="4" customFormat="1" ht="18" customHeight="1">
      <c r="A299" s="3" t="str">
        <f>"21342019072714552794832"</f>
        <v>21342019072714552794832</v>
      </c>
      <c r="B299" s="3" t="s">
        <v>6</v>
      </c>
      <c r="C299" s="3" t="str">
        <f>"王盈"</f>
        <v>王盈</v>
      </c>
      <c r="D299" s="3" t="str">
        <f t="shared" si="4"/>
        <v>女</v>
      </c>
      <c r="E299" s="3" t="str">
        <f>"1990-03-16"</f>
        <v>1990-03-16</v>
      </c>
    </row>
    <row r="300" spans="1:5" s="4" customFormat="1" ht="18" customHeight="1">
      <c r="A300" s="3" t="str">
        <f>"21342019072714562894833"</f>
        <v>21342019072714562894833</v>
      </c>
      <c r="B300" s="3" t="s">
        <v>6</v>
      </c>
      <c r="C300" s="3" t="str">
        <f>"蒲慧芳"</f>
        <v>蒲慧芳</v>
      </c>
      <c r="D300" s="3" t="str">
        <f t="shared" si="4"/>
        <v>女</v>
      </c>
      <c r="E300" s="3" t="str">
        <f>"1996-01-04"</f>
        <v>1996-01-04</v>
      </c>
    </row>
    <row r="301" spans="1:5" s="4" customFormat="1" ht="18" customHeight="1">
      <c r="A301" s="3" t="str">
        <f>"21342019072715005994837"</f>
        <v>21342019072715005994837</v>
      </c>
      <c r="B301" s="3" t="s">
        <v>6</v>
      </c>
      <c r="C301" s="3" t="str">
        <f>"李颖"</f>
        <v>李颖</v>
      </c>
      <c r="D301" s="3" t="str">
        <f t="shared" si="4"/>
        <v>女</v>
      </c>
      <c r="E301" s="3" t="str">
        <f>"2000-02-03"</f>
        <v>2000-02-03</v>
      </c>
    </row>
    <row r="302" spans="1:5" s="4" customFormat="1" ht="18" customHeight="1">
      <c r="A302" s="3" t="str">
        <f>"21342019072715021094839"</f>
        <v>21342019072715021094839</v>
      </c>
      <c r="B302" s="3" t="s">
        <v>6</v>
      </c>
      <c r="C302" s="3" t="str">
        <f>"林梅"</f>
        <v>林梅</v>
      </c>
      <c r="D302" s="3" t="str">
        <f t="shared" si="4"/>
        <v>女</v>
      </c>
      <c r="E302" s="3" t="str">
        <f>"1990-08-12"</f>
        <v>1990-08-12</v>
      </c>
    </row>
    <row r="303" spans="1:5" s="4" customFormat="1" ht="18" customHeight="1">
      <c r="A303" s="3" t="str">
        <f>"21342019072715131994850"</f>
        <v>21342019072715131994850</v>
      </c>
      <c r="B303" s="3" t="s">
        <v>6</v>
      </c>
      <c r="C303" s="3" t="str">
        <f>"何雄丽"</f>
        <v>何雄丽</v>
      </c>
      <c r="D303" s="3" t="str">
        <f t="shared" si="4"/>
        <v>女</v>
      </c>
      <c r="E303" s="3" t="str">
        <f>"1994-10-25"</f>
        <v>1994-10-25</v>
      </c>
    </row>
    <row r="304" spans="1:5" s="4" customFormat="1" ht="18" customHeight="1">
      <c r="A304" s="3" t="str">
        <f>"21342019072715135694851"</f>
        <v>21342019072715135694851</v>
      </c>
      <c r="B304" s="3" t="s">
        <v>6</v>
      </c>
      <c r="C304" s="3" t="str">
        <f>"陈琼妃"</f>
        <v>陈琼妃</v>
      </c>
      <c r="D304" s="3" t="str">
        <f t="shared" si="4"/>
        <v>女</v>
      </c>
      <c r="E304" s="3" t="str">
        <f>"1993-11-10"</f>
        <v>1993-11-10</v>
      </c>
    </row>
    <row r="305" spans="1:5" s="4" customFormat="1" ht="18" customHeight="1">
      <c r="A305" s="3" t="str">
        <f>"21342019072715184394855"</f>
        <v>21342019072715184394855</v>
      </c>
      <c r="B305" s="3" t="s">
        <v>6</v>
      </c>
      <c r="C305" s="3" t="str">
        <f>"李秀萍"</f>
        <v>李秀萍</v>
      </c>
      <c r="D305" s="3" t="str">
        <f t="shared" si="4"/>
        <v>女</v>
      </c>
      <c r="E305" s="3" t="str">
        <f>"1996-07-15"</f>
        <v>1996-07-15</v>
      </c>
    </row>
    <row r="306" spans="1:5" s="4" customFormat="1" ht="18" customHeight="1">
      <c r="A306" s="3" t="str">
        <f>"21342019072715203794857"</f>
        <v>21342019072715203794857</v>
      </c>
      <c r="B306" s="3" t="s">
        <v>6</v>
      </c>
      <c r="C306" s="3" t="str">
        <f>"冯少琼"</f>
        <v>冯少琼</v>
      </c>
      <c r="D306" s="3" t="str">
        <f t="shared" si="4"/>
        <v>女</v>
      </c>
      <c r="E306" s="3" t="str">
        <f>"1995-08-08"</f>
        <v>1995-08-08</v>
      </c>
    </row>
    <row r="307" spans="1:5" s="4" customFormat="1" ht="18" customHeight="1">
      <c r="A307" s="3" t="str">
        <f>"21342019072715220694860"</f>
        <v>21342019072715220694860</v>
      </c>
      <c r="B307" s="3" t="s">
        <v>6</v>
      </c>
      <c r="C307" s="3" t="str">
        <f>"邓冠联"</f>
        <v>邓冠联</v>
      </c>
      <c r="D307" s="3" t="str">
        <f t="shared" si="4"/>
        <v>女</v>
      </c>
      <c r="E307" s="3" t="str">
        <f>"1991-11-20"</f>
        <v>1991-11-20</v>
      </c>
    </row>
    <row r="308" spans="1:5" s="4" customFormat="1" ht="18" customHeight="1">
      <c r="A308" s="3" t="str">
        <f>"21342019072715240194863"</f>
        <v>21342019072715240194863</v>
      </c>
      <c r="B308" s="3" t="s">
        <v>6</v>
      </c>
      <c r="C308" s="3" t="str">
        <f>"王凤莲"</f>
        <v>王凤莲</v>
      </c>
      <c r="D308" s="3" t="str">
        <f t="shared" si="4"/>
        <v>女</v>
      </c>
      <c r="E308" s="3" t="str">
        <f>"1990-04-24"</f>
        <v>1990-04-24</v>
      </c>
    </row>
    <row r="309" spans="1:5" s="4" customFormat="1" ht="18" customHeight="1">
      <c r="A309" s="3" t="str">
        <f>"21342019072715274494866"</f>
        <v>21342019072715274494866</v>
      </c>
      <c r="B309" s="3" t="s">
        <v>6</v>
      </c>
      <c r="C309" s="3" t="str">
        <f>"陈祥欢"</f>
        <v>陈祥欢</v>
      </c>
      <c r="D309" s="3" t="str">
        <f t="shared" si="4"/>
        <v>女</v>
      </c>
      <c r="E309" s="3" t="str">
        <f>"1995-07-12"</f>
        <v>1995-07-12</v>
      </c>
    </row>
    <row r="310" spans="1:5" s="4" customFormat="1" ht="18" customHeight="1">
      <c r="A310" s="3" t="str">
        <f>"21342019072715325394875"</f>
        <v>21342019072715325394875</v>
      </c>
      <c r="B310" s="3" t="s">
        <v>6</v>
      </c>
      <c r="C310" s="3" t="str">
        <f>"刘海梅"</f>
        <v>刘海梅</v>
      </c>
      <c r="D310" s="3" t="str">
        <f t="shared" si="4"/>
        <v>女</v>
      </c>
      <c r="E310" s="3" t="str">
        <f>"1994-05-01"</f>
        <v>1994-05-01</v>
      </c>
    </row>
    <row r="311" spans="1:5" s="4" customFormat="1" ht="18" customHeight="1">
      <c r="A311" s="3" t="str">
        <f>"21342019072715343394877"</f>
        <v>21342019072715343394877</v>
      </c>
      <c r="B311" s="3" t="s">
        <v>6</v>
      </c>
      <c r="C311" s="3" t="str">
        <f>"林志雅"</f>
        <v>林志雅</v>
      </c>
      <c r="D311" s="3" t="str">
        <f t="shared" si="4"/>
        <v>女</v>
      </c>
      <c r="E311" s="3" t="str">
        <f>"1996-06-23"</f>
        <v>1996-06-23</v>
      </c>
    </row>
    <row r="312" spans="1:5" s="4" customFormat="1" ht="18" customHeight="1">
      <c r="A312" s="3" t="str">
        <f>"21342019072715352294879"</f>
        <v>21342019072715352294879</v>
      </c>
      <c r="B312" s="3" t="s">
        <v>6</v>
      </c>
      <c r="C312" s="3" t="str">
        <f>"王子欣"</f>
        <v>王子欣</v>
      </c>
      <c r="D312" s="3" t="str">
        <f t="shared" si="4"/>
        <v>女</v>
      </c>
      <c r="E312" s="3" t="str">
        <f>"1997-10-08"</f>
        <v>1997-10-08</v>
      </c>
    </row>
    <row r="313" spans="1:5" s="4" customFormat="1" ht="18" customHeight="1">
      <c r="A313" s="3" t="str">
        <f>"21342019072715382894880"</f>
        <v>21342019072715382894880</v>
      </c>
      <c r="B313" s="3" t="s">
        <v>6</v>
      </c>
      <c r="C313" s="3" t="str">
        <f>"符夏"</f>
        <v>符夏</v>
      </c>
      <c r="D313" s="3" t="str">
        <f t="shared" si="4"/>
        <v>女</v>
      </c>
      <c r="E313" s="3" t="str">
        <f>"1997-05-02"</f>
        <v>1997-05-02</v>
      </c>
    </row>
    <row r="314" spans="1:5" s="4" customFormat="1" ht="18" customHeight="1">
      <c r="A314" s="3" t="str">
        <f>"21342019072715422794883"</f>
        <v>21342019072715422794883</v>
      </c>
      <c r="B314" s="3" t="s">
        <v>6</v>
      </c>
      <c r="C314" s="3" t="str">
        <f>"冯梦馨"</f>
        <v>冯梦馨</v>
      </c>
      <c r="D314" s="3" t="str">
        <f t="shared" si="4"/>
        <v>女</v>
      </c>
      <c r="E314" s="3" t="str">
        <f>"1996-07-21"</f>
        <v>1996-07-21</v>
      </c>
    </row>
    <row r="315" spans="1:5" s="4" customFormat="1" ht="18" customHeight="1">
      <c r="A315" s="3" t="str">
        <f>"21342019072715444594889"</f>
        <v>21342019072715444594889</v>
      </c>
      <c r="B315" s="3" t="s">
        <v>6</v>
      </c>
      <c r="C315" s="3" t="str">
        <f>"劳少霞"</f>
        <v>劳少霞</v>
      </c>
      <c r="D315" s="3" t="str">
        <f t="shared" si="4"/>
        <v>女</v>
      </c>
      <c r="E315" s="3" t="str">
        <f>"1996-03-01"</f>
        <v>1996-03-01</v>
      </c>
    </row>
    <row r="316" spans="1:5" s="4" customFormat="1" ht="18" customHeight="1">
      <c r="A316" s="3" t="str">
        <f>"21342019072715465594891"</f>
        <v>21342019072715465594891</v>
      </c>
      <c r="B316" s="3" t="s">
        <v>6</v>
      </c>
      <c r="C316" s="3" t="str">
        <f>"李娜"</f>
        <v>李娜</v>
      </c>
      <c r="D316" s="3" t="str">
        <f t="shared" si="4"/>
        <v>女</v>
      </c>
      <c r="E316" s="3" t="str">
        <f>"1998-05-23"</f>
        <v>1998-05-23</v>
      </c>
    </row>
    <row r="317" spans="1:5" s="4" customFormat="1" ht="18" customHeight="1">
      <c r="A317" s="3" t="str">
        <f>"21342019072715480394893"</f>
        <v>21342019072715480394893</v>
      </c>
      <c r="B317" s="3" t="s">
        <v>6</v>
      </c>
      <c r="C317" s="3" t="str">
        <f>"莫财先"</f>
        <v>莫财先</v>
      </c>
      <c r="D317" s="3" t="str">
        <f t="shared" si="4"/>
        <v>女</v>
      </c>
      <c r="E317" s="3" t="str">
        <f>"1990-10-15"</f>
        <v>1990-10-15</v>
      </c>
    </row>
    <row r="318" spans="1:5" s="4" customFormat="1" ht="18" customHeight="1">
      <c r="A318" s="3" t="str">
        <f>"21342019072715514994897"</f>
        <v>21342019072715514994897</v>
      </c>
      <c r="B318" s="3" t="s">
        <v>6</v>
      </c>
      <c r="C318" s="3" t="str">
        <f>"黄海霞"</f>
        <v>黄海霞</v>
      </c>
      <c r="D318" s="3" t="str">
        <f t="shared" si="4"/>
        <v>女</v>
      </c>
      <c r="E318" s="3" t="str">
        <f>"1994-08-01"</f>
        <v>1994-08-01</v>
      </c>
    </row>
    <row r="319" spans="1:5" s="4" customFormat="1" ht="18" customHeight="1">
      <c r="A319" s="3" t="str">
        <f>"21342019072715571394901"</f>
        <v>21342019072715571394901</v>
      </c>
      <c r="B319" s="3" t="s">
        <v>6</v>
      </c>
      <c r="C319" s="3" t="str">
        <f>"陈玲"</f>
        <v>陈玲</v>
      </c>
      <c r="D319" s="3" t="str">
        <f t="shared" si="4"/>
        <v>女</v>
      </c>
      <c r="E319" s="3" t="str">
        <f>"1994-05-13"</f>
        <v>1994-05-13</v>
      </c>
    </row>
    <row r="320" spans="1:5" s="4" customFormat="1" ht="18" customHeight="1">
      <c r="A320" s="3" t="str">
        <f>"21342019072716025194904"</f>
        <v>21342019072716025194904</v>
      </c>
      <c r="B320" s="3" t="s">
        <v>6</v>
      </c>
      <c r="C320" s="3" t="str">
        <f>"王斯"</f>
        <v>王斯</v>
      </c>
      <c r="D320" s="3" t="str">
        <f t="shared" si="4"/>
        <v>女</v>
      </c>
      <c r="E320" s="3" t="str">
        <f>"1991-04-19"</f>
        <v>1991-04-19</v>
      </c>
    </row>
    <row r="321" spans="1:5" s="4" customFormat="1" ht="18" customHeight="1">
      <c r="A321" s="3" t="str">
        <f>"21342019072716055194906"</f>
        <v>21342019072716055194906</v>
      </c>
      <c r="B321" s="3" t="s">
        <v>6</v>
      </c>
      <c r="C321" s="3" t="str">
        <f>"羊鸿秋"</f>
        <v>羊鸿秋</v>
      </c>
      <c r="D321" s="3" t="str">
        <f t="shared" si="4"/>
        <v>女</v>
      </c>
      <c r="E321" s="3" t="str">
        <f>"1991-07-16"</f>
        <v>1991-07-16</v>
      </c>
    </row>
    <row r="322" spans="1:5" s="4" customFormat="1" ht="18" customHeight="1">
      <c r="A322" s="3" t="str">
        <f>"21342019072716055394907"</f>
        <v>21342019072716055394907</v>
      </c>
      <c r="B322" s="3" t="s">
        <v>6</v>
      </c>
      <c r="C322" s="3" t="str">
        <f>"魏丽婷"</f>
        <v>魏丽婷</v>
      </c>
      <c r="D322" s="3" t="str">
        <f t="shared" si="4"/>
        <v>女</v>
      </c>
      <c r="E322" s="3" t="str">
        <f>"1993-03-05"</f>
        <v>1993-03-05</v>
      </c>
    </row>
    <row r="323" spans="1:5" s="4" customFormat="1" ht="18" customHeight="1">
      <c r="A323" s="3" t="str">
        <f>"21342019072716073794912"</f>
        <v>21342019072716073794912</v>
      </c>
      <c r="B323" s="3" t="s">
        <v>6</v>
      </c>
      <c r="C323" s="3" t="str">
        <f>"黄小红"</f>
        <v>黄小红</v>
      </c>
      <c r="D323" s="3" t="str">
        <f aca="true" t="shared" si="5" ref="D323:D386">"女"</f>
        <v>女</v>
      </c>
      <c r="E323" s="3" t="str">
        <f>"1991-01-23"</f>
        <v>1991-01-23</v>
      </c>
    </row>
    <row r="324" spans="1:5" s="4" customFormat="1" ht="18" customHeight="1">
      <c r="A324" s="3" t="str">
        <f>"21342019072716074594913"</f>
        <v>21342019072716074594913</v>
      </c>
      <c r="B324" s="3" t="s">
        <v>6</v>
      </c>
      <c r="C324" s="3" t="str">
        <f>"陈娇"</f>
        <v>陈娇</v>
      </c>
      <c r="D324" s="3" t="str">
        <f t="shared" si="5"/>
        <v>女</v>
      </c>
      <c r="E324" s="3" t="str">
        <f>"1994-06-07"</f>
        <v>1994-06-07</v>
      </c>
    </row>
    <row r="325" spans="1:5" s="4" customFormat="1" ht="18" customHeight="1">
      <c r="A325" s="3" t="str">
        <f>"21342019072716104994914"</f>
        <v>21342019072716104994914</v>
      </c>
      <c r="B325" s="3" t="s">
        <v>6</v>
      </c>
      <c r="C325" s="3" t="str">
        <f>"王若兰"</f>
        <v>王若兰</v>
      </c>
      <c r="D325" s="3" t="str">
        <f t="shared" si="5"/>
        <v>女</v>
      </c>
      <c r="E325" s="3" t="str">
        <f>"1996-06-01"</f>
        <v>1996-06-01</v>
      </c>
    </row>
    <row r="326" spans="1:5" s="4" customFormat="1" ht="18" customHeight="1">
      <c r="A326" s="3" t="str">
        <f>"21342019072716141094917"</f>
        <v>21342019072716141094917</v>
      </c>
      <c r="B326" s="3" t="s">
        <v>6</v>
      </c>
      <c r="C326" s="3" t="str">
        <f>"陈姗媚"</f>
        <v>陈姗媚</v>
      </c>
      <c r="D326" s="3" t="str">
        <f t="shared" si="5"/>
        <v>女</v>
      </c>
      <c r="E326" s="3" t="str">
        <f>"1991-04-15"</f>
        <v>1991-04-15</v>
      </c>
    </row>
    <row r="327" spans="1:5" s="4" customFormat="1" ht="18" customHeight="1">
      <c r="A327" s="3" t="str">
        <f>"21342019072716162194918"</f>
        <v>21342019072716162194918</v>
      </c>
      <c r="B327" s="3" t="s">
        <v>6</v>
      </c>
      <c r="C327" s="3" t="str">
        <f>"钟海滨"</f>
        <v>钟海滨</v>
      </c>
      <c r="D327" s="3" t="str">
        <f t="shared" si="5"/>
        <v>女</v>
      </c>
      <c r="E327" s="3" t="str">
        <f>"1993-04-29"</f>
        <v>1993-04-29</v>
      </c>
    </row>
    <row r="328" spans="1:5" s="4" customFormat="1" ht="18" customHeight="1">
      <c r="A328" s="3" t="str">
        <f>"21342019072716174994921"</f>
        <v>21342019072716174994921</v>
      </c>
      <c r="B328" s="3" t="s">
        <v>6</v>
      </c>
      <c r="C328" s="3" t="str">
        <f>"许梦芸"</f>
        <v>许梦芸</v>
      </c>
      <c r="D328" s="3" t="str">
        <f t="shared" si="5"/>
        <v>女</v>
      </c>
      <c r="E328" s="3" t="str">
        <f>"1997-04-20"</f>
        <v>1997-04-20</v>
      </c>
    </row>
    <row r="329" spans="1:5" s="4" customFormat="1" ht="18" customHeight="1">
      <c r="A329" s="3" t="str">
        <f>"21342019072716224994926"</f>
        <v>21342019072716224994926</v>
      </c>
      <c r="B329" s="3" t="s">
        <v>6</v>
      </c>
      <c r="C329" s="3" t="str">
        <f>"梁秀欢"</f>
        <v>梁秀欢</v>
      </c>
      <c r="D329" s="3" t="str">
        <f t="shared" si="5"/>
        <v>女</v>
      </c>
      <c r="E329" s="3" t="str">
        <f>"1995-02-12"</f>
        <v>1995-02-12</v>
      </c>
    </row>
    <row r="330" spans="1:5" s="4" customFormat="1" ht="18" customHeight="1">
      <c r="A330" s="3" t="str">
        <f>"21342019072716241994927"</f>
        <v>21342019072716241994927</v>
      </c>
      <c r="B330" s="3" t="s">
        <v>6</v>
      </c>
      <c r="C330" s="3" t="str">
        <f>"温玉"</f>
        <v>温玉</v>
      </c>
      <c r="D330" s="3" t="str">
        <f t="shared" si="5"/>
        <v>女</v>
      </c>
      <c r="E330" s="3" t="str">
        <f>"1990-06-03"</f>
        <v>1990-06-03</v>
      </c>
    </row>
    <row r="331" spans="1:5" s="4" customFormat="1" ht="18" customHeight="1">
      <c r="A331" s="3" t="str">
        <f>"21342019072716301194932"</f>
        <v>21342019072716301194932</v>
      </c>
      <c r="B331" s="3" t="s">
        <v>6</v>
      </c>
      <c r="C331" s="3" t="str">
        <f>"文呈来"</f>
        <v>文呈来</v>
      </c>
      <c r="D331" s="3" t="str">
        <f t="shared" si="5"/>
        <v>女</v>
      </c>
      <c r="E331" s="3" t="str">
        <f>"1992-08-15"</f>
        <v>1992-08-15</v>
      </c>
    </row>
    <row r="332" spans="1:5" s="4" customFormat="1" ht="18" customHeight="1">
      <c r="A332" s="3" t="str">
        <f>"21342019072716310594935"</f>
        <v>21342019072716310594935</v>
      </c>
      <c r="B332" s="3" t="s">
        <v>6</v>
      </c>
      <c r="C332" s="3" t="str">
        <f>"李良梦"</f>
        <v>李良梦</v>
      </c>
      <c r="D332" s="3" t="str">
        <f t="shared" si="5"/>
        <v>女</v>
      </c>
      <c r="E332" s="3" t="str">
        <f>"1997-10-14"</f>
        <v>1997-10-14</v>
      </c>
    </row>
    <row r="333" spans="1:5" s="4" customFormat="1" ht="18" customHeight="1">
      <c r="A333" s="3" t="str">
        <f>"21342019072716353294937"</f>
        <v>21342019072716353294937</v>
      </c>
      <c r="B333" s="3" t="s">
        <v>6</v>
      </c>
      <c r="C333" s="3" t="str">
        <f>"王欢欢"</f>
        <v>王欢欢</v>
      </c>
      <c r="D333" s="3" t="str">
        <f t="shared" si="5"/>
        <v>女</v>
      </c>
      <c r="E333" s="3" t="str">
        <f>"1990-02-11"</f>
        <v>1990-02-11</v>
      </c>
    </row>
    <row r="334" spans="1:5" s="4" customFormat="1" ht="18" customHeight="1">
      <c r="A334" s="3" t="str">
        <f>"21342019072716354494938"</f>
        <v>21342019072716354494938</v>
      </c>
      <c r="B334" s="3" t="s">
        <v>6</v>
      </c>
      <c r="C334" s="3" t="str">
        <f>"黄彩银"</f>
        <v>黄彩银</v>
      </c>
      <c r="D334" s="3" t="str">
        <f t="shared" si="5"/>
        <v>女</v>
      </c>
      <c r="E334" s="3" t="str">
        <f>"1989-09-21"</f>
        <v>1989-09-21</v>
      </c>
    </row>
    <row r="335" spans="1:5" s="4" customFormat="1" ht="18" customHeight="1">
      <c r="A335" s="3" t="str">
        <f>"21342019072716381694942"</f>
        <v>21342019072716381694942</v>
      </c>
      <c r="B335" s="3" t="s">
        <v>6</v>
      </c>
      <c r="C335" s="3" t="str">
        <f>"许春翠"</f>
        <v>许春翠</v>
      </c>
      <c r="D335" s="3" t="str">
        <f t="shared" si="5"/>
        <v>女</v>
      </c>
      <c r="E335" s="3" t="str">
        <f>"1995-08-13"</f>
        <v>1995-08-13</v>
      </c>
    </row>
    <row r="336" spans="1:5" s="4" customFormat="1" ht="18" customHeight="1">
      <c r="A336" s="3" t="str">
        <f>"21342019072716404094947"</f>
        <v>21342019072716404094947</v>
      </c>
      <c r="B336" s="3" t="s">
        <v>6</v>
      </c>
      <c r="C336" s="3" t="str">
        <f>"黄秋理"</f>
        <v>黄秋理</v>
      </c>
      <c r="D336" s="3" t="str">
        <f t="shared" si="5"/>
        <v>女</v>
      </c>
      <c r="E336" s="3" t="str">
        <f>"1991-11-29"</f>
        <v>1991-11-29</v>
      </c>
    </row>
    <row r="337" spans="1:5" s="4" customFormat="1" ht="18" customHeight="1">
      <c r="A337" s="3" t="str">
        <f>"21342019072716413094948"</f>
        <v>21342019072716413094948</v>
      </c>
      <c r="B337" s="3" t="s">
        <v>6</v>
      </c>
      <c r="C337" s="3" t="str">
        <f>"李明慧"</f>
        <v>李明慧</v>
      </c>
      <c r="D337" s="3" t="str">
        <f t="shared" si="5"/>
        <v>女</v>
      </c>
      <c r="E337" s="3" t="str">
        <f>"1991-08-03"</f>
        <v>1991-08-03</v>
      </c>
    </row>
    <row r="338" spans="1:5" s="4" customFormat="1" ht="18" customHeight="1">
      <c r="A338" s="3" t="str">
        <f>"21342019072716425294950"</f>
        <v>21342019072716425294950</v>
      </c>
      <c r="B338" s="3" t="s">
        <v>6</v>
      </c>
      <c r="C338" s="3" t="str">
        <f>"陈艳"</f>
        <v>陈艳</v>
      </c>
      <c r="D338" s="3" t="str">
        <f t="shared" si="5"/>
        <v>女</v>
      </c>
      <c r="E338" s="3" t="str">
        <f>"1997-07-01"</f>
        <v>1997-07-01</v>
      </c>
    </row>
    <row r="339" spans="1:5" s="4" customFormat="1" ht="18" customHeight="1">
      <c r="A339" s="3" t="str">
        <f>"21342019072716433094952"</f>
        <v>21342019072716433094952</v>
      </c>
      <c r="B339" s="3" t="s">
        <v>6</v>
      </c>
      <c r="C339" s="3" t="str">
        <f>"韦全琴"</f>
        <v>韦全琴</v>
      </c>
      <c r="D339" s="3" t="str">
        <f t="shared" si="5"/>
        <v>女</v>
      </c>
      <c r="E339" s="3" t="str">
        <f>"1991-06-08"</f>
        <v>1991-06-08</v>
      </c>
    </row>
    <row r="340" spans="1:5" s="4" customFormat="1" ht="18" customHeight="1">
      <c r="A340" s="3" t="str">
        <f>"21342019072716465194956"</f>
        <v>21342019072716465194956</v>
      </c>
      <c r="B340" s="3" t="s">
        <v>6</v>
      </c>
      <c r="C340" s="3" t="str">
        <f>"吴英桃"</f>
        <v>吴英桃</v>
      </c>
      <c r="D340" s="3" t="str">
        <f t="shared" si="5"/>
        <v>女</v>
      </c>
      <c r="E340" s="3" t="str">
        <f>"1992-03-22"</f>
        <v>1992-03-22</v>
      </c>
    </row>
    <row r="341" spans="1:5" s="4" customFormat="1" ht="18" customHeight="1">
      <c r="A341" s="3" t="str">
        <f>"21342019072716521694959"</f>
        <v>21342019072716521694959</v>
      </c>
      <c r="B341" s="3" t="s">
        <v>6</v>
      </c>
      <c r="C341" s="3" t="str">
        <f>"许萧萧"</f>
        <v>许萧萧</v>
      </c>
      <c r="D341" s="3" t="str">
        <f t="shared" si="5"/>
        <v>女</v>
      </c>
      <c r="E341" s="3" t="str">
        <f>"1996-01-17"</f>
        <v>1996-01-17</v>
      </c>
    </row>
    <row r="342" spans="1:5" s="4" customFormat="1" ht="18" customHeight="1">
      <c r="A342" s="3" t="str">
        <f>"21342019072716531894960"</f>
        <v>21342019072716531894960</v>
      </c>
      <c r="B342" s="3" t="s">
        <v>6</v>
      </c>
      <c r="C342" s="3" t="str">
        <f>"王意然"</f>
        <v>王意然</v>
      </c>
      <c r="D342" s="3" t="str">
        <f t="shared" si="5"/>
        <v>女</v>
      </c>
      <c r="E342" s="3" t="str">
        <f>"1999-07-13"</f>
        <v>1999-07-13</v>
      </c>
    </row>
    <row r="343" spans="1:5" s="4" customFormat="1" ht="18" customHeight="1">
      <c r="A343" s="3" t="str">
        <f>"21342019072717033394968"</f>
        <v>21342019072717033394968</v>
      </c>
      <c r="B343" s="3" t="s">
        <v>6</v>
      </c>
      <c r="C343" s="3" t="str">
        <f>"王燕"</f>
        <v>王燕</v>
      </c>
      <c r="D343" s="3" t="str">
        <f t="shared" si="5"/>
        <v>女</v>
      </c>
      <c r="E343" s="3" t="str">
        <f>"1995-12-12"</f>
        <v>1995-12-12</v>
      </c>
    </row>
    <row r="344" spans="1:5" s="4" customFormat="1" ht="18" customHeight="1">
      <c r="A344" s="3" t="str">
        <f>"21342019072717034494970"</f>
        <v>21342019072717034494970</v>
      </c>
      <c r="B344" s="3" t="s">
        <v>6</v>
      </c>
      <c r="C344" s="3" t="str">
        <f>"羊秋桃"</f>
        <v>羊秋桃</v>
      </c>
      <c r="D344" s="3" t="str">
        <f t="shared" si="5"/>
        <v>女</v>
      </c>
      <c r="E344" s="3" t="str">
        <f>"1993-08-02"</f>
        <v>1993-08-02</v>
      </c>
    </row>
    <row r="345" spans="1:5" s="4" customFormat="1" ht="18" customHeight="1">
      <c r="A345" s="3" t="str">
        <f>"21342019072717083894977"</f>
        <v>21342019072717083894977</v>
      </c>
      <c r="B345" s="3" t="s">
        <v>6</v>
      </c>
      <c r="C345" s="3" t="str">
        <f>"盛国冰"</f>
        <v>盛国冰</v>
      </c>
      <c r="D345" s="3" t="str">
        <f t="shared" si="5"/>
        <v>女</v>
      </c>
      <c r="E345" s="3" t="str">
        <f>"1997-05-17"</f>
        <v>1997-05-17</v>
      </c>
    </row>
    <row r="346" spans="1:5" s="4" customFormat="1" ht="18" customHeight="1">
      <c r="A346" s="3" t="str">
        <f>"21342019072717104994981"</f>
        <v>21342019072717104994981</v>
      </c>
      <c r="B346" s="3" t="s">
        <v>6</v>
      </c>
      <c r="C346" s="3" t="str">
        <f>"郑雅云"</f>
        <v>郑雅云</v>
      </c>
      <c r="D346" s="3" t="str">
        <f t="shared" si="5"/>
        <v>女</v>
      </c>
      <c r="E346" s="3" t="str">
        <f>"1997-04-12"</f>
        <v>1997-04-12</v>
      </c>
    </row>
    <row r="347" spans="1:5" s="4" customFormat="1" ht="18" customHeight="1">
      <c r="A347" s="3" t="str">
        <f>"21342019072717114494982"</f>
        <v>21342019072717114494982</v>
      </c>
      <c r="B347" s="3" t="s">
        <v>6</v>
      </c>
      <c r="C347" s="3" t="str">
        <f>"陈娜"</f>
        <v>陈娜</v>
      </c>
      <c r="D347" s="3" t="str">
        <f t="shared" si="5"/>
        <v>女</v>
      </c>
      <c r="E347" s="3" t="str">
        <f>"1995-01-04"</f>
        <v>1995-01-04</v>
      </c>
    </row>
    <row r="348" spans="1:5" s="4" customFormat="1" ht="18" customHeight="1">
      <c r="A348" s="3" t="str">
        <f>"21342019072717135294985"</f>
        <v>21342019072717135294985</v>
      </c>
      <c r="B348" s="3" t="s">
        <v>6</v>
      </c>
      <c r="C348" s="3" t="str">
        <f>"陈盛坤"</f>
        <v>陈盛坤</v>
      </c>
      <c r="D348" s="3" t="str">
        <f t="shared" si="5"/>
        <v>女</v>
      </c>
      <c r="E348" s="3" t="str">
        <f>"1990-09-13"</f>
        <v>1990-09-13</v>
      </c>
    </row>
    <row r="349" spans="1:5" s="4" customFormat="1" ht="18" customHeight="1">
      <c r="A349" s="3" t="str">
        <f>"21342019072717135594986"</f>
        <v>21342019072717135594986</v>
      </c>
      <c r="B349" s="3" t="s">
        <v>6</v>
      </c>
      <c r="C349" s="3" t="str">
        <f>"唐月秋"</f>
        <v>唐月秋</v>
      </c>
      <c r="D349" s="3" t="str">
        <f t="shared" si="5"/>
        <v>女</v>
      </c>
      <c r="E349" s="3" t="str">
        <f>"1995-06-02"</f>
        <v>1995-06-02</v>
      </c>
    </row>
    <row r="350" spans="1:5" s="4" customFormat="1" ht="18" customHeight="1">
      <c r="A350" s="3" t="str">
        <f>"21342019072717151794988"</f>
        <v>21342019072717151794988</v>
      </c>
      <c r="B350" s="3" t="s">
        <v>6</v>
      </c>
      <c r="C350" s="3" t="str">
        <f>"戴琼妹"</f>
        <v>戴琼妹</v>
      </c>
      <c r="D350" s="3" t="str">
        <f t="shared" si="5"/>
        <v>女</v>
      </c>
      <c r="E350" s="3" t="str">
        <f>"1991-08-17"</f>
        <v>1991-08-17</v>
      </c>
    </row>
    <row r="351" spans="1:5" s="4" customFormat="1" ht="18" customHeight="1">
      <c r="A351" s="3" t="str">
        <f>"21342019072717161094991"</f>
        <v>21342019072717161094991</v>
      </c>
      <c r="B351" s="3" t="s">
        <v>6</v>
      </c>
      <c r="C351" s="3" t="str">
        <f>"符梦霞"</f>
        <v>符梦霞</v>
      </c>
      <c r="D351" s="3" t="str">
        <f t="shared" si="5"/>
        <v>女</v>
      </c>
      <c r="E351" s="3" t="str">
        <f>"1993-03-27"</f>
        <v>1993-03-27</v>
      </c>
    </row>
    <row r="352" spans="1:5" s="4" customFormat="1" ht="18" customHeight="1">
      <c r="A352" s="3" t="str">
        <f>"21342019072717225094998"</f>
        <v>21342019072717225094998</v>
      </c>
      <c r="B352" s="3" t="s">
        <v>6</v>
      </c>
      <c r="C352" s="3" t="str">
        <f>"李明娇"</f>
        <v>李明娇</v>
      </c>
      <c r="D352" s="3" t="str">
        <f t="shared" si="5"/>
        <v>女</v>
      </c>
      <c r="E352" s="3" t="str">
        <f>"1993-12-24"</f>
        <v>1993-12-24</v>
      </c>
    </row>
    <row r="353" spans="1:5" s="4" customFormat="1" ht="18" customHeight="1">
      <c r="A353" s="3" t="str">
        <f>"21342019072717231395000"</f>
        <v>21342019072717231395000</v>
      </c>
      <c r="B353" s="3" t="s">
        <v>6</v>
      </c>
      <c r="C353" s="3" t="str">
        <f>"邓瑞晓"</f>
        <v>邓瑞晓</v>
      </c>
      <c r="D353" s="3" t="str">
        <f t="shared" si="5"/>
        <v>女</v>
      </c>
      <c r="E353" s="3" t="str">
        <f>"1995-10-03"</f>
        <v>1995-10-03</v>
      </c>
    </row>
    <row r="354" spans="1:5" s="4" customFormat="1" ht="18" customHeight="1">
      <c r="A354" s="3" t="str">
        <f>"21342019072717262195003"</f>
        <v>21342019072717262195003</v>
      </c>
      <c r="B354" s="3" t="s">
        <v>6</v>
      </c>
      <c r="C354" s="3" t="str">
        <f>"陈美湘"</f>
        <v>陈美湘</v>
      </c>
      <c r="D354" s="3" t="str">
        <f t="shared" si="5"/>
        <v>女</v>
      </c>
      <c r="E354" s="3" t="str">
        <f>"2000-05-11"</f>
        <v>2000-05-11</v>
      </c>
    </row>
    <row r="355" spans="1:5" s="4" customFormat="1" ht="18" customHeight="1">
      <c r="A355" s="3" t="str">
        <f>"21342019072717290095006"</f>
        <v>21342019072717290095006</v>
      </c>
      <c r="B355" s="3" t="s">
        <v>6</v>
      </c>
      <c r="C355" s="3" t="str">
        <f>"宋晓丽"</f>
        <v>宋晓丽</v>
      </c>
      <c r="D355" s="3" t="str">
        <f t="shared" si="5"/>
        <v>女</v>
      </c>
      <c r="E355" s="3" t="str">
        <f>"1993-10-27"</f>
        <v>1993-10-27</v>
      </c>
    </row>
    <row r="356" spans="1:5" s="4" customFormat="1" ht="18" customHeight="1">
      <c r="A356" s="3" t="str">
        <f>"21342019072717333395010"</f>
        <v>21342019072717333395010</v>
      </c>
      <c r="B356" s="3" t="s">
        <v>6</v>
      </c>
      <c r="C356" s="3" t="str">
        <f>"郑晓莹"</f>
        <v>郑晓莹</v>
      </c>
      <c r="D356" s="3" t="str">
        <f t="shared" si="5"/>
        <v>女</v>
      </c>
      <c r="E356" s="3" t="str">
        <f>"1996-10-22"</f>
        <v>1996-10-22</v>
      </c>
    </row>
    <row r="357" spans="1:5" s="4" customFormat="1" ht="18" customHeight="1">
      <c r="A357" s="3" t="str">
        <f>"21342019072717354795012"</f>
        <v>21342019072717354795012</v>
      </c>
      <c r="B357" s="3" t="s">
        <v>6</v>
      </c>
      <c r="C357" s="3" t="str">
        <f>"庄珍妮"</f>
        <v>庄珍妮</v>
      </c>
      <c r="D357" s="3" t="str">
        <f t="shared" si="5"/>
        <v>女</v>
      </c>
      <c r="E357" s="3" t="str">
        <f>"1997-08-02"</f>
        <v>1997-08-02</v>
      </c>
    </row>
    <row r="358" spans="1:5" s="4" customFormat="1" ht="18" customHeight="1">
      <c r="A358" s="3" t="str">
        <f>"21342019072717383395015"</f>
        <v>21342019072717383395015</v>
      </c>
      <c r="B358" s="3" t="s">
        <v>6</v>
      </c>
      <c r="C358" s="3" t="str">
        <f>"林有妹"</f>
        <v>林有妹</v>
      </c>
      <c r="D358" s="3" t="str">
        <f t="shared" si="5"/>
        <v>女</v>
      </c>
      <c r="E358" s="3" t="str">
        <f>"1993-09-23"</f>
        <v>1993-09-23</v>
      </c>
    </row>
    <row r="359" spans="1:5" s="4" customFormat="1" ht="18" customHeight="1">
      <c r="A359" s="3" t="str">
        <f>"21342019072717402595016"</f>
        <v>21342019072717402595016</v>
      </c>
      <c r="B359" s="3" t="s">
        <v>6</v>
      </c>
      <c r="C359" s="3" t="str">
        <f>"王纯"</f>
        <v>王纯</v>
      </c>
      <c r="D359" s="3" t="str">
        <f t="shared" si="5"/>
        <v>女</v>
      </c>
      <c r="E359" s="3" t="str">
        <f>"1989-12-13"</f>
        <v>1989-12-13</v>
      </c>
    </row>
    <row r="360" spans="1:5" s="4" customFormat="1" ht="18" customHeight="1">
      <c r="A360" s="3" t="str">
        <f>"21342019072717402895017"</f>
        <v>21342019072717402895017</v>
      </c>
      <c r="B360" s="3" t="s">
        <v>6</v>
      </c>
      <c r="C360" s="3" t="str">
        <f>"林静"</f>
        <v>林静</v>
      </c>
      <c r="D360" s="3" t="str">
        <f t="shared" si="5"/>
        <v>女</v>
      </c>
      <c r="E360" s="3" t="str">
        <f>"1997-09-05"</f>
        <v>1997-09-05</v>
      </c>
    </row>
    <row r="361" spans="1:5" s="4" customFormat="1" ht="18" customHeight="1">
      <c r="A361" s="3" t="str">
        <f>"21342019072717403795018"</f>
        <v>21342019072717403795018</v>
      </c>
      <c r="B361" s="3" t="s">
        <v>6</v>
      </c>
      <c r="C361" s="3" t="str">
        <f>"郑忠艳"</f>
        <v>郑忠艳</v>
      </c>
      <c r="D361" s="3" t="str">
        <f t="shared" si="5"/>
        <v>女</v>
      </c>
      <c r="E361" s="3" t="str">
        <f>"1992-12-24"</f>
        <v>1992-12-24</v>
      </c>
    </row>
    <row r="362" spans="1:5" s="4" customFormat="1" ht="18" customHeight="1">
      <c r="A362" s="3" t="str">
        <f>"21342019072717404895019"</f>
        <v>21342019072717404895019</v>
      </c>
      <c r="B362" s="3" t="s">
        <v>6</v>
      </c>
      <c r="C362" s="3" t="str">
        <f>"钟昌苹"</f>
        <v>钟昌苹</v>
      </c>
      <c r="D362" s="3" t="str">
        <f t="shared" si="5"/>
        <v>女</v>
      </c>
      <c r="E362" s="3" t="str">
        <f>"1995-06-12"</f>
        <v>1995-06-12</v>
      </c>
    </row>
    <row r="363" spans="1:5" s="4" customFormat="1" ht="18" customHeight="1">
      <c r="A363" s="3" t="str">
        <f>"21342019072717421995020"</f>
        <v>21342019072717421995020</v>
      </c>
      <c r="B363" s="3" t="s">
        <v>6</v>
      </c>
      <c r="C363" s="3" t="str">
        <f>"李忠娃"</f>
        <v>李忠娃</v>
      </c>
      <c r="D363" s="3" t="str">
        <f t="shared" si="5"/>
        <v>女</v>
      </c>
      <c r="E363" s="3" t="str">
        <f>"1993-02-02"</f>
        <v>1993-02-02</v>
      </c>
    </row>
    <row r="364" spans="1:5" s="4" customFormat="1" ht="18" customHeight="1">
      <c r="A364" s="3" t="str">
        <f>"21342019072717453895022"</f>
        <v>21342019072717453895022</v>
      </c>
      <c r="B364" s="3" t="s">
        <v>6</v>
      </c>
      <c r="C364" s="3" t="str">
        <f>"陈娇满"</f>
        <v>陈娇满</v>
      </c>
      <c r="D364" s="3" t="str">
        <f t="shared" si="5"/>
        <v>女</v>
      </c>
      <c r="E364" s="3" t="str">
        <f>"1997-02-14"</f>
        <v>1997-02-14</v>
      </c>
    </row>
    <row r="365" spans="1:5" s="4" customFormat="1" ht="18" customHeight="1">
      <c r="A365" s="3" t="str">
        <f>"21342019072717454795023"</f>
        <v>21342019072717454795023</v>
      </c>
      <c r="B365" s="3" t="s">
        <v>6</v>
      </c>
      <c r="C365" s="3" t="str">
        <f>"朱晓慧"</f>
        <v>朱晓慧</v>
      </c>
      <c r="D365" s="3" t="str">
        <f t="shared" si="5"/>
        <v>女</v>
      </c>
      <c r="E365" s="3" t="str">
        <f>"1996-02-02"</f>
        <v>1996-02-02</v>
      </c>
    </row>
    <row r="366" spans="1:5" s="4" customFormat="1" ht="18" customHeight="1">
      <c r="A366" s="3" t="str">
        <f>"21342019072717465895025"</f>
        <v>21342019072717465895025</v>
      </c>
      <c r="B366" s="3" t="s">
        <v>6</v>
      </c>
      <c r="C366" s="3" t="str">
        <f>"吴乾女"</f>
        <v>吴乾女</v>
      </c>
      <c r="D366" s="3" t="str">
        <f t="shared" si="5"/>
        <v>女</v>
      </c>
      <c r="E366" s="3" t="str">
        <f>"1997-02-07"</f>
        <v>1997-02-07</v>
      </c>
    </row>
    <row r="367" spans="1:5" s="4" customFormat="1" ht="18" customHeight="1">
      <c r="A367" s="3" t="str">
        <f>"21342019072717491995027"</f>
        <v>21342019072717491995027</v>
      </c>
      <c r="B367" s="3" t="s">
        <v>6</v>
      </c>
      <c r="C367" s="3" t="str">
        <f>"符雪婷"</f>
        <v>符雪婷</v>
      </c>
      <c r="D367" s="3" t="str">
        <f t="shared" si="5"/>
        <v>女</v>
      </c>
      <c r="E367" s="3" t="str">
        <f>"1994-10-27"</f>
        <v>1994-10-27</v>
      </c>
    </row>
    <row r="368" spans="1:5" s="4" customFormat="1" ht="18" customHeight="1">
      <c r="A368" s="3" t="str">
        <f>"21342019072717543095030"</f>
        <v>21342019072717543095030</v>
      </c>
      <c r="B368" s="3" t="s">
        <v>6</v>
      </c>
      <c r="C368" s="3" t="str">
        <f>"柯漫"</f>
        <v>柯漫</v>
      </c>
      <c r="D368" s="3" t="str">
        <f t="shared" si="5"/>
        <v>女</v>
      </c>
      <c r="E368" s="3" t="str">
        <f>"1993-07-03"</f>
        <v>1993-07-03</v>
      </c>
    </row>
    <row r="369" spans="1:5" s="4" customFormat="1" ht="18" customHeight="1">
      <c r="A369" s="3" t="str">
        <f>"21342019072717564995034"</f>
        <v>21342019072717564995034</v>
      </c>
      <c r="B369" s="3" t="s">
        <v>6</v>
      </c>
      <c r="C369" s="3" t="str">
        <f>"陈佳玉"</f>
        <v>陈佳玉</v>
      </c>
      <c r="D369" s="3" t="str">
        <f t="shared" si="5"/>
        <v>女</v>
      </c>
      <c r="E369" s="3" t="str">
        <f>"1995-01-06"</f>
        <v>1995-01-06</v>
      </c>
    </row>
    <row r="370" spans="1:5" s="4" customFormat="1" ht="18" customHeight="1">
      <c r="A370" s="3" t="str">
        <f>"21342019072717574595036"</f>
        <v>21342019072717574595036</v>
      </c>
      <c r="B370" s="3" t="s">
        <v>6</v>
      </c>
      <c r="C370" s="3" t="str">
        <f>"叶小娟"</f>
        <v>叶小娟</v>
      </c>
      <c r="D370" s="3" t="str">
        <f t="shared" si="5"/>
        <v>女</v>
      </c>
      <c r="E370" s="3" t="str">
        <f>"1995-01-12"</f>
        <v>1995-01-12</v>
      </c>
    </row>
    <row r="371" spans="1:5" s="4" customFormat="1" ht="18" customHeight="1">
      <c r="A371" s="3" t="str">
        <f>"21342019072718025795041"</f>
        <v>21342019072718025795041</v>
      </c>
      <c r="B371" s="3" t="s">
        <v>6</v>
      </c>
      <c r="C371" s="3" t="str">
        <f>"陈国珠"</f>
        <v>陈国珠</v>
      </c>
      <c r="D371" s="3" t="str">
        <f t="shared" si="5"/>
        <v>女</v>
      </c>
      <c r="E371" s="3" t="str">
        <f>"1991-10-12"</f>
        <v>1991-10-12</v>
      </c>
    </row>
    <row r="372" spans="1:5" s="4" customFormat="1" ht="18" customHeight="1">
      <c r="A372" s="3" t="str">
        <f>"21342019072718064595045"</f>
        <v>21342019072718064595045</v>
      </c>
      <c r="B372" s="3" t="s">
        <v>6</v>
      </c>
      <c r="C372" s="3" t="str">
        <f>"王美丽"</f>
        <v>王美丽</v>
      </c>
      <c r="D372" s="3" t="str">
        <f t="shared" si="5"/>
        <v>女</v>
      </c>
      <c r="E372" s="3" t="str">
        <f>"1994-07-26"</f>
        <v>1994-07-26</v>
      </c>
    </row>
    <row r="373" spans="1:5" s="4" customFormat="1" ht="18" customHeight="1">
      <c r="A373" s="3" t="str">
        <f>"21342019072718111495055"</f>
        <v>21342019072718111495055</v>
      </c>
      <c r="B373" s="3" t="s">
        <v>6</v>
      </c>
      <c r="C373" s="3" t="str">
        <f>"林恒妃"</f>
        <v>林恒妃</v>
      </c>
      <c r="D373" s="3" t="str">
        <f t="shared" si="5"/>
        <v>女</v>
      </c>
      <c r="E373" s="3" t="str">
        <f>"1994-10-05"</f>
        <v>1994-10-05</v>
      </c>
    </row>
    <row r="374" spans="1:5" s="4" customFormat="1" ht="18" customHeight="1">
      <c r="A374" s="3" t="str">
        <f>"21342019072718133195059"</f>
        <v>21342019072718133195059</v>
      </c>
      <c r="B374" s="3" t="s">
        <v>6</v>
      </c>
      <c r="C374" s="3" t="str">
        <f>"郑月宛"</f>
        <v>郑月宛</v>
      </c>
      <c r="D374" s="3" t="str">
        <f t="shared" si="5"/>
        <v>女</v>
      </c>
      <c r="E374" s="3" t="str">
        <f>"1995-02-07"</f>
        <v>1995-02-07</v>
      </c>
    </row>
    <row r="375" spans="1:5" s="4" customFormat="1" ht="18" customHeight="1">
      <c r="A375" s="3" t="str">
        <f>"21342019072718171895060"</f>
        <v>21342019072718171895060</v>
      </c>
      <c r="B375" s="3" t="s">
        <v>6</v>
      </c>
      <c r="C375" s="3" t="str">
        <f>"陈艳"</f>
        <v>陈艳</v>
      </c>
      <c r="D375" s="3" t="str">
        <f t="shared" si="5"/>
        <v>女</v>
      </c>
      <c r="E375" s="3" t="str">
        <f>"1996-09-05"</f>
        <v>1996-09-05</v>
      </c>
    </row>
    <row r="376" spans="1:5" s="4" customFormat="1" ht="18" customHeight="1">
      <c r="A376" s="3" t="str">
        <f>"21342019072718190595062"</f>
        <v>21342019072718190595062</v>
      </c>
      <c r="B376" s="3" t="s">
        <v>6</v>
      </c>
      <c r="C376" s="3" t="str">
        <f>"刘俊露"</f>
        <v>刘俊露</v>
      </c>
      <c r="D376" s="3" t="str">
        <f t="shared" si="5"/>
        <v>女</v>
      </c>
      <c r="E376" s="3" t="str">
        <f>"1996-08-05"</f>
        <v>1996-08-05</v>
      </c>
    </row>
    <row r="377" spans="1:5" s="4" customFormat="1" ht="18" customHeight="1">
      <c r="A377" s="3" t="str">
        <f>"21342019072718192695063"</f>
        <v>21342019072718192695063</v>
      </c>
      <c r="B377" s="3" t="s">
        <v>6</v>
      </c>
      <c r="C377" s="3" t="str">
        <f>"苏墩花"</f>
        <v>苏墩花</v>
      </c>
      <c r="D377" s="3" t="str">
        <f t="shared" si="5"/>
        <v>女</v>
      </c>
      <c r="E377" s="3" t="str">
        <f>"1994-06-04"</f>
        <v>1994-06-04</v>
      </c>
    </row>
    <row r="378" spans="1:5" s="4" customFormat="1" ht="18" customHeight="1">
      <c r="A378" s="3" t="str">
        <f>"21342019072718281095066"</f>
        <v>21342019072718281095066</v>
      </c>
      <c r="B378" s="3" t="s">
        <v>6</v>
      </c>
      <c r="C378" s="3" t="str">
        <f>"唐找勇"</f>
        <v>唐找勇</v>
      </c>
      <c r="D378" s="3" t="str">
        <f t="shared" si="5"/>
        <v>女</v>
      </c>
      <c r="E378" s="3" t="str">
        <f>"1993-02-01"</f>
        <v>1993-02-01</v>
      </c>
    </row>
    <row r="379" spans="1:5" s="4" customFormat="1" ht="18" customHeight="1">
      <c r="A379" s="3" t="str">
        <f>"21342019072718301695068"</f>
        <v>21342019072718301695068</v>
      </c>
      <c r="B379" s="3" t="s">
        <v>6</v>
      </c>
      <c r="C379" s="3" t="str">
        <f>"王必芳"</f>
        <v>王必芳</v>
      </c>
      <c r="D379" s="3" t="str">
        <f t="shared" si="5"/>
        <v>女</v>
      </c>
      <c r="E379" s="3" t="str">
        <f>"1991-04-17"</f>
        <v>1991-04-17</v>
      </c>
    </row>
    <row r="380" spans="1:5" s="4" customFormat="1" ht="18" customHeight="1">
      <c r="A380" s="3" t="str">
        <f>"21342019072718320195069"</f>
        <v>21342019072718320195069</v>
      </c>
      <c r="B380" s="3" t="s">
        <v>6</v>
      </c>
      <c r="C380" s="3" t="str">
        <f>"张振丹"</f>
        <v>张振丹</v>
      </c>
      <c r="D380" s="3" t="str">
        <f t="shared" si="5"/>
        <v>女</v>
      </c>
      <c r="E380" s="3" t="str">
        <f>"1995-06-17"</f>
        <v>1995-06-17</v>
      </c>
    </row>
    <row r="381" spans="1:5" s="4" customFormat="1" ht="18" customHeight="1">
      <c r="A381" s="3" t="str">
        <f>"21342019072718330595070"</f>
        <v>21342019072718330595070</v>
      </c>
      <c r="B381" s="3" t="s">
        <v>6</v>
      </c>
      <c r="C381" s="3" t="str">
        <f>"罗娜妹"</f>
        <v>罗娜妹</v>
      </c>
      <c r="D381" s="3" t="str">
        <f t="shared" si="5"/>
        <v>女</v>
      </c>
      <c r="E381" s="3" t="str">
        <f>"1994-06-13"</f>
        <v>1994-06-13</v>
      </c>
    </row>
    <row r="382" spans="1:5" s="4" customFormat="1" ht="18" customHeight="1">
      <c r="A382" s="3" t="str">
        <f>"21342019072718435395078"</f>
        <v>21342019072718435395078</v>
      </c>
      <c r="B382" s="3" t="s">
        <v>6</v>
      </c>
      <c r="C382" s="3" t="str">
        <f>"卢霞"</f>
        <v>卢霞</v>
      </c>
      <c r="D382" s="3" t="str">
        <f t="shared" si="5"/>
        <v>女</v>
      </c>
      <c r="E382" s="3" t="str">
        <f>"1992-02-07"</f>
        <v>1992-02-07</v>
      </c>
    </row>
    <row r="383" spans="1:5" s="4" customFormat="1" ht="18" customHeight="1">
      <c r="A383" s="3" t="str">
        <f>"21342019072718520195081"</f>
        <v>21342019072718520195081</v>
      </c>
      <c r="B383" s="3" t="s">
        <v>6</v>
      </c>
      <c r="C383" s="3" t="str">
        <f>"符初乾"</f>
        <v>符初乾</v>
      </c>
      <c r="D383" s="3" t="str">
        <f t="shared" si="5"/>
        <v>女</v>
      </c>
      <c r="E383" s="3" t="str">
        <f>"1991-06-11"</f>
        <v>1991-06-11</v>
      </c>
    </row>
    <row r="384" spans="1:5" s="4" customFormat="1" ht="18" customHeight="1">
      <c r="A384" s="3" t="str">
        <f>"21342019072718565195083"</f>
        <v>21342019072718565195083</v>
      </c>
      <c r="B384" s="3" t="s">
        <v>6</v>
      </c>
      <c r="C384" s="3" t="str">
        <f>"李海丽"</f>
        <v>李海丽</v>
      </c>
      <c r="D384" s="3" t="str">
        <f t="shared" si="5"/>
        <v>女</v>
      </c>
      <c r="E384" s="3" t="str">
        <f>"1992-09-20"</f>
        <v>1992-09-20</v>
      </c>
    </row>
    <row r="385" spans="1:5" s="4" customFormat="1" ht="18" customHeight="1">
      <c r="A385" s="3" t="str">
        <f>"21342019072719071595089"</f>
        <v>21342019072719071595089</v>
      </c>
      <c r="B385" s="3" t="s">
        <v>6</v>
      </c>
      <c r="C385" s="3" t="str">
        <f>"王海丽"</f>
        <v>王海丽</v>
      </c>
      <c r="D385" s="3" t="str">
        <f t="shared" si="5"/>
        <v>女</v>
      </c>
      <c r="E385" s="3" t="str">
        <f>"1991-02-18"</f>
        <v>1991-02-18</v>
      </c>
    </row>
    <row r="386" spans="1:5" s="4" customFormat="1" ht="18" customHeight="1">
      <c r="A386" s="3" t="str">
        <f>"21342019072719095595092"</f>
        <v>21342019072719095595092</v>
      </c>
      <c r="B386" s="3" t="s">
        <v>6</v>
      </c>
      <c r="C386" s="3" t="str">
        <f>"羊基"</f>
        <v>羊基</v>
      </c>
      <c r="D386" s="3" t="str">
        <f t="shared" si="5"/>
        <v>女</v>
      </c>
      <c r="E386" s="3" t="str">
        <f>"1990-09-05"</f>
        <v>1990-09-05</v>
      </c>
    </row>
    <row r="387" spans="1:5" s="4" customFormat="1" ht="18" customHeight="1">
      <c r="A387" s="3" t="str">
        <f>"21342019072719123095095"</f>
        <v>21342019072719123095095</v>
      </c>
      <c r="B387" s="3" t="s">
        <v>6</v>
      </c>
      <c r="C387" s="3" t="str">
        <f>"关远倩"</f>
        <v>关远倩</v>
      </c>
      <c r="D387" s="3" t="str">
        <f aca="true" t="shared" si="6" ref="D387:D401">"女"</f>
        <v>女</v>
      </c>
      <c r="E387" s="3" t="str">
        <f>"1998-09-06"</f>
        <v>1998-09-06</v>
      </c>
    </row>
    <row r="388" spans="1:5" s="4" customFormat="1" ht="18" customHeight="1">
      <c r="A388" s="3" t="str">
        <f>"21342019072719125195096"</f>
        <v>21342019072719125195096</v>
      </c>
      <c r="B388" s="3" t="s">
        <v>6</v>
      </c>
      <c r="C388" s="3" t="str">
        <f>"许治坚"</f>
        <v>许治坚</v>
      </c>
      <c r="D388" s="3" t="str">
        <f t="shared" si="6"/>
        <v>女</v>
      </c>
      <c r="E388" s="3" t="str">
        <f>"1996-12-19"</f>
        <v>1996-12-19</v>
      </c>
    </row>
    <row r="389" spans="1:5" s="4" customFormat="1" ht="18" customHeight="1">
      <c r="A389" s="3" t="str">
        <f>"21342019072719223695103"</f>
        <v>21342019072719223695103</v>
      </c>
      <c r="B389" s="3" t="s">
        <v>6</v>
      </c>
      <c r="C389" s="3" t="str">
        <f>"王梅妍"</f>
        <v>王梅妍</v>
      </c>
      <c r="D389" s="3" t="str">
        <f t="shared" si="6"/>
        <v>女</v>
      </c>
      <c r="E389" s="3" t="str">
        <f>"1996-12-18"</f>
        <v>1996-12-18</v>
      </c>
    </row>
    <row r="390" spans="1:5" s="4" customFormat="1" ht="18" customHeight="1">
      <c r="A390" s="3" t="str">
        <f>"21342019072719331495107"</f>
        <v>21342019072719331495107</v>
      </c>
      <c r="B390" s="3" t="s">
        <v>6</v>
      </c>
      <c r="C390" s="3" t="str">
        <f>"徐芳"</f>
        <v>徐芳</v>
      </c>
      <c r="D390" s="3" t="str">
        <f t="shared" si="6"/>
        <v>女</v>
      </c>
      <c r="E390" s="3" t="str">
        <f>"1991-07-26"</f>
        <v>1991-07-26</v>
      </c>
    </row>
    <row r="391" spans="1:5" s="4" customFormat="1" ht="18" customHeight="1">
      <c r="A391" s="3" t="str">
        <f>"21342019072719364795110"</f>
        <v>21342019072719364795110</v>
      </c>
      <c r="B391" s="3" t="s">
        <v>6</v>
      </c>
      <c r="C391" s="3" t="str">
        <f>"符力丹"</f>
        <v>符力丹</v>
      </c>
      <c r="D391" s="3" t="str">
        <f t="shared" si="6"/>
        <v>女</v>
      </c>
      <c r="E391" s="3" t="str">
        <f>"1993-03-25"</f>
        <v>1993-03-25</v>
      </c>
    </row>
    <row r="392" spans="1:5" s="4" customFormat="1" ht="18" customHeight="1">
      <c r="A392" s="3" t="str">
        <f>"21342019072719392195112"</f>
        <v>21342019072719392195112</v>
      </c>
      <c r="B392" s="3" t="s">
        <v>6</v>
      </c>
      <c r="C392" s="3" t="str">
        <f>"朱恒敏"</f>
        <v>朱恒敏</v>
      </c>
      <c r="D392" s="3" t="str">
        <f t="shared" si="6"/>
        <v>女</v>
      </c>
      <c r="E392" s="3" t="str">
        <f>"1996-11-19"</f>
        <v>1996-11-19</v>
      </c>
    </row>
    <row r="393" spans="1:5" s="4" customFormat="1" ht="18" customHeight="1">
      <c r="A393" s="3" t="str">
        <f>"21342019072719412395113"</f>
        <v>21342019072719412395113</v>
      </c>
      <c r="B393" s="3" t="s">
        <v>6</v>
      </c>
      <c r="C393" s="3" t="str">
        <f>"王小烂"</f>
        <v>王小烂</v>
      </c>
      <c r="D393" s="3" t="str">
        <f t="shared" si="6"/>
        <v>女</v>
      </c>
      <c r="E393" s="3" t="str">
        <f>"1990-07-20"</f>
        <v>1990-07-20</v>
      </c>
    </row>
    <row r="394" spans="1:5" s="4" customFormat="1" ht="18" customHeight="1">
      <c r="A394" s="3" t="str">
        <f>"21342019072719434395117"</f>
        <v>21342019072719434395117</v>
      </c>
      <c r="B394" s="3" t="s">
        <v>6</v>
      </c>
      <c r="C394" s="3" t="str">
        <f>"陈丽春"</f>
        <v>陈丽春</v>
      </c>
      <c r="D394" s="3" t="str">
        <f t="shared" si="6"/>
        <v>女</v>
      </c>
      <c r="E394" s="3" t="str">
        <f>"1996-03-25"</f>
        <v>1996-03-25</v>
      </c>
    </row>
    <row r="395" spans="1:5" s="4" customFormat="1" ht="18" customHeight="1">
      <c r="A395" s="3" t="str">
        <f>"21342019072719531695123"</f>
        <v>21342019072719531695123</v>
      </c>
      <c r="B395" s="3" t="s">
        <v>6</v>
      </c>
      <c r="C395" s="3" t="str">
        <f>"许妹初"</f>
        <v>许妹初</v>
      </c>
      <c r="D395" s="3" t="str">
        <f t="shared" si="6"/>
        <v>女</v>
      </c>
      <c r="E395" s="3" t="str">
        <f>"1996-04-01"</f>
        <v>1996-04-01</v>
      </c>
    </row>
    <row r="396" spans="1:5" s="4" customFormat="1" ht="18" customHeight="1">
      <c r="A396" s="3" t="str">
        <f>"21342019072719532195124"</f>
        <v>21342019072719532195124</v>
      </c>
      <c r="B396" s="3" t="s">
        <v>6</v>
      </c>
      <c r="C396" s="3" t="str">
        <f>"刘艺婷"</f>
        <v>刘艺婷</v>
      </c>
      <c r="D396" s="3" t="str">
        <f t="shared" si="6"/>
        <v>女</v>
      </c>
      <c r="E396" s="3" t="str">
        <f>"1993-05-17"</f>
        <v>1993-05-17</v>
      </c>
    </row>
    <row r="397" spans="1:5" s="4" customFormat="1" ht="18" customHeight="1">
      <c r="A397" s="3" t="str">
        <f>"21342019072719540595125"</f>
        <v>21342019072719540595125</v>
      </c>
      <c r="B397" s="3" t="s">
        <v>6</v>
      </c>
      <c r="C397" s="3" t="str">
        <f>"余海燕"</f>
        <v>余海燕</v>
      </c>
      <c r="D397" s="3" t="str">
        <f t="shared" si="6"/>
        <v>女</v>
      </c>
      <c r="E397" s="3" t="str">
        <f>"1996-03-08"</f>
        <v>1996-03-08</v>
      </c>
    </row>
    <row r="398" spans="1:5" s="4" customFormat="1" ht="18" customHeight="1">
      <c r="A398" s="3" t="str">
        <f>"21342019072720001595130"</f>
        <v>21342019072720001595130</v>
      </c>
      <c r="B398" s="3" t="s">
        <v>6</v>
      </c>
      <c r="C398" s="3" t="str">
        <f>"曾艳"</f>
        <v>曾艳</v>
      </c>
      <c r="D398" s="3" t="str">
        <f t="shared" si="6"/>
        <v>女</v>
      </c>
      <c r="E398" s="3" t="str">
        <f>"1996-11-09"</f>
        <v>1996-11-09</v>
      </c>
    </row>
    <row r="399" spans="1:5" s="4" customFormat="1" ht="18" customHeight="1">
      <c r="A399" s="3" t="str">
        <f>"21342019072720075295134"</f>
        <v>21342019072720075295134</v>
      </c>
      <c r="B399" s="3" t="s">
        <v>6</v>
      </c>
      <c r="C399" s="3" t="str">
        <f>"李引淑"</f>
        <v>李引淑</v>
      </c>
      <c r="D399" s="3" t="str">
        <f t="shared" si="6"/>
        <v>女</v>
      </c>
      <c r="E399" s="3" t="str">
        <f>"1993-06-19"</f>
        <v>1993-06-19</v>
      </c>
    </row>
    <row r="400" spans="1:5" s="4" customFormat="1" ht="18" customHeight="1">
      <c r="A400" s="3" t="str">
        <f>"21342019072720095895135"</f>
        <v>21342019072720095895135</v>
      </c>
      <c r="B400" s="3" t="s">
        <v>6</v>
      </c>
      <c r="C400" s="3" t="str">
        <f>"文海莹"</f>
        <v>文海莹</v>
      </c>
      <c r="D400" s="3" t="str">
        <f t="shared" si="6"/>
        <v>女</v>
      </c>
      <c r="E400" s="3" t="str">
        <f>"1992-06-15"</f>
        <v>1992-06-15</v>
      </c>
    </row>
    <row r="401" spans="1:5" s="4" customFormat="1" ht="18" customHeight="1">
      <c r="A401" s="3" t="str">
        <f>"21342019072720102795136"</f>
        <v>21342019072720102795136</v>
      </c>
      <c r="B401" s="3" t="s">
        <v>6</v>
      </c>
      <c r="C401" s="3" t="str">
        <f>"吴永娜"</f>
        <v>吴永娜</v>
      </c>
      <c r="D401" s="3" t="str">
        <f t="shared" si="6"/>
        <v>女</v>
      </c>
      <c r="E401" s="3" t="str">
        <f>"1993-12-29"</f>
        <v>1993-12-29</v>
      </c>
    </row>
    <row r="402" spans="1:5" s="4" customFormat="1" ht="18" customHeight="1">
      <c r="A402" s="3" t="str">
        <f>"21342019072720110895137"</f>
        <v>21342019072720110895137</v>
      </c>
      <c r="B402" s="3" t="s">
        <v>6</v>
      </c>
      <c r="C402" s="3">
        <f>""</f>
      </c>
      <c r="D402" s="3">
        <f>""</f>
      </c>
      <c r="E402" s="3">
        <f>""</f>
      </c>
    </row>
    <row r="403" spans="1:5" s="4" customFormat="1" ht="18" customHeight="1">
      <c r="A403" s="3" t="str">
        <f>"21342019072720112395140"</f>
        <v>21342019072720112395140</v>
      </c>
      <c r="B403" s="3" t="s">
        <v>6</v>
      </c>
      <c r="C403" s="3" t="str">
        <f>"刘静媛"</f>
        <v>刘静媛</v>
      </c>
      <c r="D403" s="3" t="str">
        <f aca="true" t="shared" si="7" ref="D403:D466">"女"</f>
        <v>女</v>
      </c>
      <c r="E403" s="3" t="str">
        <f>"1994-06-15"</f>
        <v>1994-06-15</v>
      </c>
    </row>
    <row r="404" spans="1:5" s="4" customFormat="1" ht="18" customHeight="1">
      <c r="A404" s="3" t="str">
        <f>"21342019072720152195143"</f>
        <v>21342019072720152195143</v>
      </c>
      <c r="B404" s="3" t="s">
        <v>6</v>
      </c>
      <c r="C404" s="3" t="str">
        <f>"洪余"</f>
        <v>洪余</v>
      </c>
      <c r="D404" s="3" t="str">
        <f t="shared" si="7"/>
        <v>女</v>
      </c>
      <c r="E404" s="3" t="str">
        <f>"1999-02-16"</f>
        <v>1999-02-16</v>
      </c>
    </row>
    <row r="405" spans="1:5" s="4" customFormat="1" ht="18" customHeight="1">
      <c r="A405" s="3" t="str">
        <f>"21342019072720220795148"</f>
        <v>21342019072720220795148</v>
      </c>
      <c r="B405" s="3" t="s">
        <v>6</v>
      </c>
      <c r="C405" s="3" t="str">
        <f>"钟向菊"</f>
        <v>钟向菊</v>
      </c>
      <c r="D405" s="3" t="str">
        <f t="shared" si="7"/>
        <v>女</v>
      </c>
      <c r="E405" s="3" t="str">
        <f>"1994-02-18"</f>
        <v>1994-02-18</v>
      </c>
    </row>
    <row r="406" spans="1:5" s="4" customFormat="1" ht="18" customHeight="1">
      <c r="A406" s="3" t="str">
        <f>"21342019072720234995151"</f>
        <v>21342019072720234995151</v>
      </c>
      <c r="B406" s="3" t="s">
        <v>6</v>
      </c>
      <c r="C406" s="3" t="str">
        <f>"梁界"</f>
        <v>梁界</v>
      </c>
      <c r="D406" s="3" t="str">
        <f t="shared" si="7"/>
        <v>女</v>
      </c>
      <c r="E406" s="3" t="str">
        <f>"1991-08-18"</f>
        <v>1991-08-18</v>
      </c>
    </row>
    <row r="407" spans="1:5" s="4" customFormat="1" ht="18" customHeight="1">
      <c r="A407" s="3" t="str">
        <f>"21342019072720251495152"</f>
        <v>21342019072720251495152</v>
      </c>
      <c r="B407" s="3" t="s">
        <v>6</v>
      </c>
      <c r="C407" s="3" t="str">
        <f>"陈碧露"</f>
        <v>陈碧露</v>
      </c>
      <c r="D407" s="3" t="str">
        <f t="shared" si="7"/>
        <v>女</v>
      </c>
      <c r="E407" s="3" t="str">
        <f>"1994-07-18"</f>
        <v>1994-07-18</v>
      </c>
    </row>
    <row r="408" spans="1:5" s="4" customFormat="1" ht="18" customHeight="1">
      <c r="A408" s="3" t="str">
        <f>"21342019072720252095153"</f>
        <v>21342019072720252095153</v>
      </c>
      <c r="B408" s="3" t="s">
        <v>6</v>
      </c>
      <c r="C408" s="3" t="str">
        <f>"王嘉果"</f>
        <v>王嘉果</v>
      </c>
      <c r="D408" s="3" t="str">
        <f t="shared" si="7"/>
        <v>女</v>
      </c>
      <c r="E408" s="3" t="str">
        <f>"1995-06-07"</f>
        <v>1995-06-07</v>
      </c>
    </row>
    <row r="409" spans="1:5" s="4" customFormat="1" ht="18" customHeight="1">
      <c r="A409" s="3" t="str">
        <f>"21342019072720275995156"</f>
        <v>21342019072720275995156</v>
      </c>
      <c r="B409" s="3" t="s">
        <v>6</v>
      </c>
      <c r="C409" s="3" t="str">
        <f>"王民湘"</f>
        <v>王民湘</v>
      </c>
      <c r="D409" s="3" t="str">
        <f t="shared" si="7"/>
        <v>女</v>
      </c>
      <c r="E409" s="3" t="str">
        <f>"2001-10-22"</f>
        <v>2001-10-22</v>
      </c>
    </row>
    <row r="410" spans="1:5" s="4" customFormat="1" ht="18" customHeight="1">
      <c r="A410" s="3" t="str">
        <f>"21342019072720285295158"</f>
        <v>21342019072720285295158</v>
      </c>
      <c r="B410" s="3" t="s">
        <v>6</v>
      </c>
      <c r="C410" s="3" t="str">
        <f>"曾孟婷"</f>
        <v>曾孟婷</v>
      </c>
      <c r="D410" s="3" t="str">
        <f t="shared" si="7"/>
        <v>女</v>
      </c>
      <c r="E410" s="3" t="str">
        <f>"1992-05-10"</f>
        <v>1992-05-10</v>
      </c>
    </row>
    <row r="411" spans="1:5" s="4" customFormat="1" ht="18" customHeight="1">
      <c r="A411" s="3" t="str">
        <f>"21342019072720303595159"</f>
        <v>21342019072720303595159</v>
      </c>
      <c r="B411" s="3" t="s">
        <v>6</v>
      </c>
      <c r="C411" s="3" t="str">
        <f>"李婷燕"</f>
        <v>李婷燕</v>
      </c>
      <c r="D411" s="3" t="str">
        <f t="shared" si="7"/>
        <v>女</v>
      </c>
      <c r="E411" s="3" t="str">
        <f>"1994-07-31"</f>
        <v>1994-07-31</v>
      </c>
    </row>
    <row r="412" spans="1:5" s="4" customFormat="1" ht="18" customHeight="1">
      <c r="A412" s="3" t="str">
        <f>"21342019072720310195160"</f>
        <v>21342019072720310195160</v>
      </c>
      <c r="B412" s="3" t="s">
        <v>6</v>
      </c>
      <c r="C412" s="3" t="str">
        <f>"郑庆坤"</f>
        <v>郑庆坤</v>
      </c>
      <c r="D412" s="3" t="str">
        <f t="shared" si="7"/>
        <v>女</v>
      </c>
      <c r="E412" s="3" t="str">
        <f>"1996-12-06"</f>
        <v>1996-12-06</v>
      </c>
    </row>
    <row r="413" spans="1:5" s="4" customFormat="1" ht="18" customHeight="1">
      <c r="A413" s="3" t="str">
        <f>"21342019072720341195164"</f>
        <v>21342019072720341195164</v>
      </c>
      <c r="B413" s="3" t="s">
        <v>6</v>
      </c>
      <c r="C413" s="3" t="str">
        <f>"王洁雅"</f>
        <v>王洁雅</v>
      </c>
      <c r="D413" s="3" t="str">
        <f t="shared" si="7"/>
        <v>女</v>
      </c>
      <c r="E413" s="3" t="str">
        <f>"1998-09-10"</f>
        <v>1998-09-10</v>
      </c>
    </row>
    <row r="414" spans="1:5" s="4" customFormat="1" ht="18" customHeight="1">
      <c r="A414" s="3" t="str">
        <f>"21342019072720345295165"</f>
        <v>21342019072720345295165</v>
      </c>
      <c r="B414" s="3" t="s">
        <v>6</v>
      </c>
      <c r="C414" s="3" t="str">
        <f>"高小芳"</f>
        <v>高小芳</v>
      </c>
      <c r="D414" s="3" t="str">
        <f t="shared" si="7"/>
        <v>女</v>
      </c>
      <c r="E414" s="3" t="str">
        <f>"1994-05-08"</f>
        <v>1994-05-08</v>
      </c>
    </row>
    <row r="415" spans="1:5" s="4" customFormat="1" ht="18" customHeight="1">
      <c r="A415" s="3" t="str">
        <f>"21342019072720371595167"</f>
        <v>21342019072720371595167</v>
      </c>
      <c r="B415" s="3" t="s">
        <v>6</v>
      </c>
      <c r="C415" s="3" t="str">
        <f>"陈光彩"</f>
        <v>陈光彩</v>
      </c>
      <c r="D415" s="3" t="str">
        <f t="shared" si="7"/>
        <v>女</v>
      </c>
      <c r="E415" s="3" t="str">
        <f>"1995-05-16"</f>
        <v>1995-05-16</v>
      </c>
    </row>
    <row r="416" spans="1:5" s="4" customFormat="1" ht="18" customHeight="1">
      <c r="A416" s="3" t="str">
        <f>"21342019072720405195169"</f>
        <v>21342019072720405195169</v>
      </c>
      <c r="B416" s="3" t="s">
        <v>6</v>
      </c>
      <c r="C416" s="3" t="str">
        <f>"陈素姿"</f>
        <v>陈素姿</v>
      </c>
      <c r="D416" s="3" t="str">
        <f t="shared" si="7"/>
        <v>女</v>
      </c>
      <c r="E416" s="3" t="str">
        <f>"1995-10-11"</f>
        <v>1995-10-11</v>
      </c>
    </row>
    <row r="417" spans="1:5" s="4" customFormat="1" ht="18" customHeight="1">
      <c r="A417" s="3" t="str">
        <f>"21342019072720473295174"</f>
        <v>21342019072720473295174</v>
      </c>
      <c r="B417" s="3" t="s">
        <v>6</v>
      </c>
      <c r="C417" s="3" t="str">
        <f>"肖焕振"</f>
        <v>肖焕振</v>
      </c>
      <c r="D417" s="3" t="str">
        <f t="shared" si="7"/>
        <v>女</v>
      </c>
      <c r="E417" s="3" t="str">
        <f>"1994-01-02"</f>
        <v>1994-01-02</v>
      </c>
    </row>
    <row r="418" spans="1:5" s="4" customFormat="1" ht="18" customHeight="1">
      <c r="A418" s="3" t="str">
        <f>"21342019072720483895176"</f>
        <v>21342019072720483895176</v>
      </c>
      <c r="B418" s="3" t="s">
        <v>6</v>
      </c>
      <c r="C418" s="3" t="str">
        <f>"罗妹娟"</f>
        <v>罗妹娟</v>
      </c>
      <c r="D418" s="3" t="str">
        <f t="shared" si="7"/>
        <v>女</v>
      </c>
      <c r="E418" s="3" t="str">
        <f>"1997-01-14"</f>
        <v>1997-01-14</v>
      </c>
    </row>
    <row r="419" spans="1:5" s="4" customFormat="1" ht="18" customHeight="1">
      <c r="A419" s="3" t="str">
        <f>"21342019072720523695179"</f>
        <v>21342019072720523695179</v>
      </c>
      <c r="B419" s="3" t="s">
        <v>6</v>
      </c>
      <c r="C419" s="3" t="str">
        <f>"朱海叶"</f>
        <v>朱海叶</v>
      </c>
      <c r="D419" s="3" t="str">
        <f t="shared" si="7"/>
        <v>女</v>
      </c>
      <c r="E419" s="3" t="str">
        <f>"1989-12-26"</f>
        <v>1989-12-26</v>
      </c>
    </row>
    <row r="420" spans="1:5" s="4" customFormat="1" ht="18" customHeight="1">
      <c r="A420" s="3" t="str">
        <f>"21342019072720554295182"</f>
        <v>21342019072720554295182</v>
      </c>
      <c r="B420" s="3" t="s">
        <v>6</v>
      </c>
      <c r="C420" s="3" t="str">
        <f>"苏秀香"</f>
        <v>苏秀香</v>
      </c>
      <c r="D420" s="3" t="str">
        <f t="shared" si="7"/>
        <v>女</v>
      </c>
      <c r="E420" s="3" t="str">
        <f>"1994-10-18"</f>
        <v>1994-10-18</v>
      </c>
    </row>
    <row r="421" spans="1:5" s="4" customFormat="1" ht="18" customHeight="1">
      <c r="A421" s="3" t="str">
        <f>"21342019072720570195183"</f>
        <v>21342019072720570195183</v>
      </c>
      <c r="B421" s="3" t="s">
        <v>6</v>
      </c>
      <c r="C421" s="3" t="str">
        <f>"陈明丽"</f>
        <v>陈明丽</v>
      </c>
      <c r="D421" s="3" t="str">
        <f t="shared" si="7"/>
        <v>女</v>
      </c>
      <c r="E421" s="3" t="str">
        <f>"1990-05-13"</f>
        <v>1990-05-13</v>
      </c>
    </row>
    <row r="422" spans="1:5" s="4" customFormat="1" ht="18" customHeight="1">
      <c r="A422" s="3" t="str">
        <f>"21342019072721014895185"</f>
        <v>21342019072721014895185</v>
      </c>
      <c r="B422" s="3" t="s">
        <v>6</v>
      </c>
      <c r="C422" s="3" t="str">
        <f>"曾玲"</f>
        <v>曾玲</v>
      </c>
      <c r="D422" s="3" t="str">
        <f t="shared" si="7"/>
        <v>女</v>
      </c>
      <c r="E422" s="3" t="str">
        <f>"1992-01-07"</f>
        <v>1992-01-07</v>
      </c>
    </row>
    <row r="423" spans="1:5" s="4" customFormat="1" ht="18" customHeight="1">
      <c r="A423" s="3" t="str">
        <f>"21342019072721015195186"</f>
        <v>21342019072721015195186</v>
      </c>
      <c r="B423" s="3" t="s">
        <v>6</v>
      </c>
      <c r="C423" s="3" t="str">
        <f>"薛桂萍"</f>
        <v>薛桂萍</v>
      </c>
      <c r="D423" s="3" t="str">
        <f t="shared" si="7"/>
        <v>女</v>
      </c>
      <c r="E423" s="3" t="str">
        <f>"1989-10-10"</f>
        <v>1989-10-10</v>
      </c>
    </row>
    <row r="424" spans="1:5" s="4" customFormat="1" ht="18" customHeight="1">
      <c r="A424" s="3" t="str">
        <f>"21342019072721023395187"</f>
        <v>21342019072721023395187</v>
      </c>
      <c r="B424" s="3" t="s">
        <v>6</v>
      </c>
      <c r="C424" s="3" t="str">
        <f>"王秋英"</f>
        <v>王秋英</v>
      </c>
      <c r="D424" s="3" t="str">
        <f t="shared" si="7"/>
        <v>女</v>
      </c>
      <c r="E424" s="3" t="str">
        <f>"1997-05-23"</f>
        <v>1997-05-23</v>
      </c>
    </row>
    <row r="425" spans="1:5" s="4" customFormat="1" ht="18" customHeight="1">
      <c r="A425" s="3" t="str">
        <f>"21342019072721075195189"</f>
        <v>21342019072721075195189</v>
      </c>
      <c r="B425" s="3" t="s">
        <v>6</v>
      </c>
      <c r="C425" s="3" t="str">
        <f>"陈明秀"</f>
        <v>陈明秀</v>
      </c>
      <c r="D425" s="3" t="str">
        <f t="shared" si="7"/>
        <v>女</v>
      </c>
      <c r="E425" s="3" t="str">
        <f>"1992-01-24"</f>
        <v>1992-01-24</v>
      </c>
    </row>
    <row r="426" spans="1:5" s="4" customFormat="1" ht="18" customHeight="1">
      <c r="A426" s="3" t="str">
        <f>"21342019072721093295190"</f>
        <v>21342019072721093295190</v>
      </c>
      <c r="B426" s="3" t="s">
        <v>6</v>
      </c>
      <c r="C426" s="3" t="str">
        <f>"黄平丽"</f>
        <v>黄平丽</v>
      </c>
      <c r="D426" s="3" t="str">
        <f t="shared" si="7"/>
        <v>女</v>
      </c>
      <c r="E426" s="3" t="str">
        <f>"1994-11-23"</f>
        <v>1994-11-23</v>
      </c>
    </row>
    <row r="427" spans="1:5" s="4" customFormat="1" ht="18" customHeight="1">
      <c r="A427" s="3" t="str">
        <f>"21342019072721112095191"</f>
        <v>21342019072721112095191</v>
      </c>
      <c r="B427" s="3" t="s">
        <v>6</v>
      </c>
      <c r="C427" s="3" t="str">
        <f>"唐秀丽"</f>
        <v>唐秀丽</v>
      </c>
      <c r="D427" s="3" t="str">
        <f t="shared" si="7"/>
        <v>女</v>
      </c>
      <c r="E427" s="3" t="str">
        <f>"1996-02-02"</f>
        <v>1996-02-02</v>
      </c>
    </row>
    <row r="428" spans="1:5" s="4" customFormat="1" ht="18" customHeight="1">
      <c r="A428" s="3" t="str">
        <f>"21342019072721124095193"</f>
        <v>21342019072721124095193</v>
      </c>
      <c r="B428" s="3" t="s">
        <v>6</v>
      </c>
      <c r="C428" s="3" t="str">
        <f>"顾小荣"</f>
        <v>顾小荣</v>
      </c>
      <c r="D428" s="3" t="str">
        <f t="shared" si="7"/>
        <v>女</v>
      </c>
      <c r="E428" s="3" t="str">
        <f>"1993-11-14"</f>
        <v>1993-11-14</v>
      </c>
    </row>
    <row r="429" spans="1:5" s="4" customFormat="1" ht="18" customHeight="1">
      <c r="A429" s="3" t="str">
        <f>"21342019072721190395200"</f>
        <v>21342019072721190395200</v>
      </c>
      <c r="B429" s="3" t="s">
        <v>6</v>
      </c>
      <c r="C429" s="3" t="str">
        <f>"余文玲"</f>
        <v>余文玲</v>
      </c>
      <c r="D429" s="3" t="str">
        <f t="shared" si="7"/>
        <v>女</v>
      </c>
      <c r="E429" s="3" t="str">
        <f>"1994-09-10"</f>
        <v>1994-09-10</v>
      </c>
    </row>
    <row r="430" spans="1:5" s="4" customFormat="1" ht="18" customHeight="1">
      <c r="A430" s="3" t="str">
        <f>"21342019072721211695203"</f>
        <v>21342019072721211695203</v>
      </c>
      <c r="B430" s="3" t="s">
        <v>6</v>
      </c>
      <c r="C430" s="3" t="str">
        <f>"梁芯苑"</f>
        <v>梁芯苑</v>
      </c>
      <c r="D430" s="3" t="str">
        <f t="shared" si="7"/>
        <v>女</v>
      </c>
      <c r="E430" s="3" t="str">
        <f>"1990-08-18"</f>
        <v>1990-08-18</v>
      </c>
    </row>
    <row r="431" spans="1:5" s="4" customFormat="1" ht="18" customHeight="1">
      <c r="A431" s="3" t="str">
        <f>"21342019072721222095204"</f>
        <v>21342019072721222095204</v>
      </c>
      <c r="B431" s="3" t="s">
        <v>6</v>
      </c>
      <c r="C431" s="3" t="str">
        <f>"唐郴"</f>
        <v>唐郴</v>
      </c>
      <c r="D431" s="3" t="str">
        <f t="shared" si="7"/>
        <v>女</v>
      </c>
      <c r="E431" s="3" t="str">
        <f>"1992-01-18"</f>
        <v>1992-01-18</v>
      </c>
    </row>
    <row r="432" spans="1:5" s="4" customFormat="1" ht="18" customHeight="1">
      <c r="A432" s="3" t="str">
        <f>"21342019072721243295206"</f>
        <v>21342019072721243295206</v>
      </c>
      <c r="B432" s="3" t="s">
        <v>6</v>
      </c>
      <c r="C432" s="3" t="str">
        <f>"韦丽玛"</f>
        <v>韦丽玛</v>
      </c>
      <c r="D432" s="3" t="str">
        <f t="shared" si="7"/>
        <v>女</v>
      </c>
      <c r="E432" s="3" t="str">
        <f>"1990-02-19"</f>
        <v>1990-02-19</v>
      </c>
    </row>
    <row r="433" spans="1:5" s="4" customFormat="1" ht="18" customHeight="1">
      <c r="A433" s="3" t="str">
        <f>"21342019072721361395213"</f>
        <v>21342019072721361395213</v>
      </c>
      <c r="B433" s="3" t="s">
        <v>6</v>
      </c>
      <c r="C433" s="3" t="str">
        <f>"符仙"</f>
        <v>符仙</v>
      </c>
      <c r="D433" s="3" t="str">
        <f t="shared" si="7"/>
        <v>女</v>
      </c>
      <c r="E433" s="3" t="str">
        <f>"1995-10-16"</f>
        <v>1995-10-16</v>
      </c>
    </row>
    <row r="434" spans="1:5" s="4" customFormat="1" ht="18" customHeight="1">
      <c r="A434" s="3" t="str">
        <f>"21342019072721371695215"</f>
        <v>21342019072721371695215</v>
      </c>
      <c r="B434" s="3" t="s">
        <v>6</v>
      </c>
      <c r="C434" s="3" t="str">
        <f>"王翠青"</f>
        <v>王翠青</v>
      </c>
      <c r="D434" s="3" t="str">
        <f t="shared" si="7"/>
        <v>女</v>
      </c>
      <c r="E434" s="3" t="str">
        <f>"1993-06-20"</f>
        <v>1993-06-20</v>
      </c>
    </row>
    <row r="435" spans="1:5" s="4" customFormat="1" ht="18" customHeight="1">
      <c r="A435" s="3" t="str">
        <f>"21342019072721401195217"</f>
        <v>21342019072721401195217</v>
      </c>
      <c r="B435" s="3" t="s">
        <v>6</v>
      </c>
      <c r="C435" s="3" t="str">
        <f>"王康鸿"</f>
        <v>王康鸿</v>
      </c>
      <c r="D435" s="3" t="str">
        <f t="shared" si="7"/>
        <v>女</v>
      </c>
      <c r="E435" s="3" t="str">
        <f>"1997-04-26"</f>
        <v>1997-04-26</v>
      </c>
    </row>
    <row r="436" spans="1:5" s="4" customFormat="1" ht="18" customHeight="1">
      <c r="A436" s="3" t="str">
        <f>"21342019072721425995221"</f>
        <v>21342019072721425995221</v>
      </c>
      <c r="B436" s="3" t="s">
        <v>6</v>
      </c>
      <c r="C436" s="3" t="str">
        <f>"符彬彬"</f>
        <v>符彬彬</v>
      </c>
      <c r="D436" s="3" t="str">
        <f t="shared" si="7"/>
        <v>女</v>
      </c>
      <c r="E436" s="3" t="str">
        <f>"1993-06-29"</f>
        <v>1993-06-29</v>
      </c>
    </row>
    <row r="437" spans="1:5" s="4" customFormat="1" ht="18" customHeight="1">
      <c r="A437" s="3" t="str">
        <f>"21342019072721561695231"</f>
        <v>21342019072721561695231</v>
      </c>
      <c r="B437" s="3" t="s">
        <v>6</v>
      </c>
      <c r="C437" s="3" t="str">
        <f>"陈荣净"</f>
        <v>陈荣净</v>
      </c>
      <c r="D437" s="3" t="str">
        <f t="shared" si="7"/>
        <v>女</v>
      </c>
      <c r="E437" s="3" t="str">
        <f>"1995-10-08"</f>
        <v>1995-10-08</v>
      </c>
    </row>
    <row r="438" spans="1:5" s="4" customFormat="1" ht="18" customHeight="1">
      <c r="A438" s="3" t="str">
        <f>"21342019072721591695235"</f>
        <v>21342019072721591695235</v>
      </c>
      <c r="B438" s="3" t="s">
        <v>6</v>
      </c>
      <c r="C438" s="3" t="str">
        <f>"钟晓妹"</f>
        <v>钟晓妹</v>
      </c>
      <c r="D438" s="3" t="str">
        <f t="shared" si="7"/>
        <v>女</v>
      </c>
      <c r="E438" s="3" t="str">
        <f>"1995-05-06"</f>
        <v>1995-05-06</v>
      </c>
    </row>
    <row r="439" spans="1:5" s="4" customFormat="1" ht="18" customHeight="1">
      <c r="A439" s="3" t="str">
        <f>"21342019072722065095241"</f>
        <v>21342019072722065095241</v>
      </c>
      <c r="B439" s="3" t="s">
        <v>6</v>
      </c>
      <c r="C439" s="3" t="str">
        <f>"龙桂妃"</f>
        <v>龙桂妃</v>
      </c>
      <c r="D439" s="3" t="str">
        <f t="shared" si="7"/>
        <v>女</v>
      </c>
      <c r="E439" s="3" t="str">
        <f>"1996-04-15"</f>
        <v>1996-04-15</v>
      </c>
    </row>
    <row r="440" spans="1:5" s="4" customFormat="1" ht="18" customHeight="1">
      <c r="A440" s="3" t="str">
        <f>"21342019072722065895242"</f>
        <v>21342019072722065895242</v>
      </c>
      <c r="B440" s="3" t="s">
        <v>6</v>
      </c>
      <c r="C440" s="3" t="str">
        <f>"罗盛榆"</f>
        <v>罗盛榆</v>
      </c>
      <c r="D440" s="3" t="str">
        <f t="shared" si="7"/>
        <v>女</v>
      </c>
      <c r="E440" s="3" t="str">
        <f>"1997-06-18"</f>
        <v>1997-06-18</v>
      </c>
    </row>
    <row r="441" spans="1:5" s="4" customFormat="1" ht="18" customHeight="1">
      <c r="A441" s="3" t="str">
        <f>"21342019072722075495243"</f>
        <v>21342019072722075495243</v>
      </c>
      <c r="B441" s="3" t="s">
        <v>6</v>
      </c>
      <c r="C441" s="3" t="str">
        <f>"陈星代"</f>
        <v>陈星代</v>
      </c>
      <c r="D441" s="3" t="str">
        <f t="shared" si="7"/>
        <v>女</v>
      </c>
      <c r="E441" s="3" t="str">
        <f>"1997-07-30"</f>
        <v>1997-07-30</v>
      </c>
    </row>
    <row r="442" spans="1:5" s="4" customFormat="1" ht="18" customHeight="1">
      <c r="A442" s="3" t="str">
        <f>"21342019072722095095246"</f>
        <v>21342019072722095095246</v>
      </c>
      <c r="B442" s="3" t="s">
        <v>6</v>
      </c>
      <c r="C442" s="3" t="str">
        <f>"符少哪"</f>
        <v>符少哪</v>
      </c>
      <c r="D442" s="3" t="str">
        <f t="shared" si="7"/>
        <v>女</v>
      </c>
      <c r="E442" s="3" t="str">
        <f>"1995-08-28"</f>
        <v>1995-08-28</v>
      </c>
    </row>
    <row r="443" spans="1:5" s="4" customFormat="1" ht="18" customHeight="1">
      <c r="A443" s="3" t="str">
        <f>"21342019072722152895249"</f>
        <v>21342019072722152895249</v>
      </c>
      <c r="B443" s="3" t="s">
        <v>6</v>
      </c>
      <c r="C443" s="3" t="str">
        <f>"冯小霞"</f>
        <v>冯小霞</v>
      </c>
      <c r="D443" s="3" t="str">
        <f t="shared" si="7"/>
        <v>女</v>
      </c>
      <c r="E443" s="3" t="str">
        <f>"1992-01-02"</f>
        <v>1992-01-02</v>
      </c>
    </row>
    <row r="444" spans="1:5" s="4" customFormat="1" ht="18" customHeight="1">
      <c r="A444" s="3" t="str">
        <f>"21342019072722155195250"</f>
        <v>21342019072722155195250</v>
      </c>
      <c r="B444" s="3" t="s">
        <v>6</v>
      </c>
      <c r="C444" s="3" t="str">
        <f>"王妹妹"</f>
        <v>王妹妹</v>
      </c>
      <c r="D444" s="3" t="str">
        <f t="shared" si="7"/>
        <v>女</v>
      </c>
      <c r="E444" s="3" t="str">
        <f>"1993-01-18"</f>
        <v>1993-01-18</v>
      </c>
    </row>
    <row r="445" spans="1:5" s="4" customFormat="1" ht="18" customHeight="1">
      <c r="A445" s="3" t="str">
        <f>"21342019072722170395252"</f>
        <v>21342019072722170395252</v>
      </c>
      <c r="B445" s="3" t="s">
        <v>6</v>
      </c>
      <c r="C445" s="3" t="str">
        <f>"刘欣欣"</f>
        <v>刘欣欣</v>
      </c>
      <c r="D445" s="3" t="str">
        <f t="shared" si="7"/>
        <v>女</v>
      </c>
      <c r="E445" s="3" t="str">
        <f>"1996-11-02"</f>
        <v>1996-11-02</v>
      </c>
    </row>
    <row r="446" spans="1:5" s="4" customFormat="1" ht="18" customHeight="1">
      <c r="A446" s="3" t="str">
        <f>"21342019072722193395255"</f>
        <v>21342019072722193395255</v>
      </c>
      <c r="B446" s="3" t="s">
        <v>6</v>
      </c>
      <c r="C446" s="3" t="str">
        <f>"李思琪"</f>
        <v>李思琪</v>
      </c>
      <c r="D446" s="3" t="str">
        <f t="shared" si="7"/>
        <v>女</v>
      </c>
      <c r="E446" s="3" t="str">
        <f>"1996-06-07"</f>
        <v>1996-06-07</v>
      </c>
    </row>
    <row r="447" spans="1:5" s="4" customFormat="1" ht="18" customHeight="1">
      <c r="A447" s="3" t="str">
        <f>"21342019072722200095256"</f>
        <v>21342019072722200095256</v>
      </c>
      <c r="B447" s="3" t="s">
        <v>6</v>
      </c>
      <c r="C447" s="3" t="str">
        <f>"符雪雪"</f>
        <v>符雪雪</v>
      </c>
      <c r="D447" s="3" t="str">
        <f t="shared" si="7"/>
        <v>女</v>
      </c>
      <c r="E447" s="3" t="str">
        <f>"1997-04-18"</f>
        <v>1997-04-18</v>
      </c>
    </row>
    <row r="448" spans="1:5" s="4" customFormat="1" ht="18" customHeight="1">
      <c r="A448" s="3" t="str">
        <f>"21342019072722252795262"</f>
        <v>21342019072722252795262</v>
      </c>
      <c r="B448" s="3" t="s">
        <v>6</v>
      </c>
      <c r="C448" s="3" t="str">
        <f>"王少糠"</f>
        <v>王少糠</v>
      </c>
      <c r="D448" s="3" t="str">
        <f t="shared" si="7"/>
        <v>女</v>
      </c>
      <c r="E448" s="3" t="str">
        <f>"1997-04-13"</f>
        <v>1997-04-13</v>
      </c>
    </row>
    <row r="449" spans="1:5" s="4" customFormat="1" ht="18" customHeight="1">
      <c r="A449" s="3" t="str">
        <f>"21342019072722295195265"</f>
        <v>21342019072722295195265</v>
      </c>
      <c r="B449" s="3" t="s">
        <v>6</v>
      </c>
      <c r="C449" s="3" t="str">
        <f>"钟浪"</f>
        <v>钟浪</v>
      </c>
      <c r="D449" s="3" t="str">
        <f t="shared" si="7"/>
        <v>女</v>
      </c>
      <c r="E449" s="3" t="str">
        <f>"1990-12-15"</f>
        <v>1990-12-15</v>
      </c>
    </row>
    <row r="450" spans="1:5" s="4" customFormat="1" ht="18" customHeight="1">
      <c r="A450" s="3" t="str">
        <f>"21342019072722372395270"</f>
        <v>21342019072722372395270</v>
      </c>
      <c r="B450" s="3" t="s">
        <v>6</v>
      </c>
      <c r="C450" s="3" t="str">
        <f>"陈慧珍"</f>
        <v>陈慧珍</v>
      </c>
      <c r="D450" s="3" t="str">
        <f t="shared" si="7"/>
        <v>女</v>
      </c>
      <c r="E450" s="3" t="str">
        <f>"1997-03-03"</f>
        <v>1997-03-03</v>
      </c>
    </row>
    <row r="451" spans="1:5" s="4" customFormat="1" ht="18" customHeight="1">
      <c r="A451" s="3" t="str">
        <f>"21342019072722372895271"</f>
        <v>21342019072722372895271</v>
      </c>
      <c r="B451" s="3" t="s">
        <v>6</v>
      </c>
      <c r="C451" s="3" t="str">
        <f>"张江娜"</f>
        <v>张江娜</v>
      </c>
      <c r="D451" s="3" t="str">
        <f t="shared" si="7"/>
        <v>女</v>
      </c>
      <c r="E451" s="3" t="str">
        <f>"1997-07-21"</f>
        <v>1997-07-21</v>
      </c>
    </row>
    <row r="452" spans="1:5" s="4" customFormat="1" ht="18" customHeight="1">
      <c r="A452" s="3" t="str">
        <f>"21342019072722382895272"</f>
        <v>21342019072722382895272</v>
      </c>
      <c r="B452" s="3" t="s">
        <v>6</v>
      </c>
      <c r="C452" s="3" t="str">
        <f>"吴其玲"</f>
        <v>吴其玲</v>
      </c>
      <c r="D452" s="3" t="str">
        <f t="shared" si="7"/>
        <v>女</v>
      </c>
      <c r="E452" s="3" t="str">
        <f>"1993-02-18"</f>
        <v>1993-02-18</v>
      </c>
    </row>
    <row r="453" spans="1:5" s="4" customFormat="1" ht="18" customHeight="1">
      <c r="A453" s="3" t="str">
        <f>"21342019072722412395274"</f>
        <v>21342019072722412395274</v>
      </c>
      <c r="B453" s="3" t="s">
        <v>6</v>
      </c>
      <c r="C453" s="3" t="str">
        <f>"杨欣"</f>
        <v>杨欣</v>
      </c>
      <c r="D453" s="3" t="str">
        <f t="shared" si="7"/>
        <v>女</v>
      </c>
      <c r="E453" s="3" t="str">
        <f>"1995-08-18"</f>
        <v>1995-08-18</v>
      </c>
    </row>
    <row r="454" spans="1:5" s="4" customFormat="1" ht="18" customHeight="1">
      <c r="A454" s="3" t="str">
        <f>"21342019072722435395277"</f>
        <v>21342019072722435395277</v>
      </c>
      <c r="B454" s="3" t="s">
        <v>6</v>
      </c>
      <c r="C454" s="3" t="str">
        <f>"符玉潮"</f>
        <v>符玉潮</v>
      </c>
      <c r="D454" s="3" t="str">
        <f t="shared" si="7"/>
        <v>女</v>
      </c>
      <c r="E454" s="3" t="str">
        <f>"1994-10-24"</f>
        <v>1994-10-24</v>
      </c>
    </row>
    <row r="455" spans="1:5" s="4" customFormat="1" ht="18" customHeight="1">
      <c r="A455" s="3" t="str">
        <f>"21342019072722461795278"</f>
        <v>21342019072722461795278</v>
      </c>
      <c r="B455" s="3" t="s">
        <v>6</v>
      </c>
      <c r="C455" s="3" t="str">
        <f>"符孙梅"</f>
        <v>符孙梅</v>
      </c>
      <c r="D455" s="3" t="str">
        <f t="shared" si="7"/>
        <v>女</v>
      </c>
      <c r="E455" s="3" t="str">
        <f>"1991-04-08"</f>
        <v>1991-04-08</v>
      </c>
    </row>
    <row r="456" spans="1:5" s="4" customFormat="1" ht="18" customHeight="1">
      <c r="A456" s="3" t="str">
        <f>"21342019072722480295281"</f>
        <v>21342019072722480295281</v>
      </c>
      <c r="B456" s="3" t="s">
        <v>6</v>
      </c>
      <c r="C456" s="3" t="str">
        <f>"王一凡"</f>
        <v>王一凡</v>
      </c>
      <c r="D456" s="3" t="str">
        <f t="shared" si="7"/>
        <v>女</v>
      </c>
      <c r="E456" s="3" t="str">
        <f>"1994-03-21"</f>
        <v>1994-03-21</v>
      </c>
    </row>
    <row r="457" spans="1:5" s="4" customFormat="1" ht="18" customHeight="1">
      <c r="A457" s="3" t="str">
        <f>"21342019072722480295282"</f>
        <v>21342019072722480295282</v>
      </c>
      <c r="B457" s="3" t="s">
        <v>6</v>
      </c>
      <c r="C457" s="3" t="str">
        <f>"李叶"</f>
        <v>李叶</v>
      </c>
      <c r="D457" s="3" t="str">
        <f t="shared" si="7"/>
        <v>女</v>
      </c>
      <c r="E457" s="3" t="str">
        <f>"1993-12-26"</f>
        <v>1993-12-26</v>
      </c>
    </row>
    <row r="458" spans="1:5" s="4" customFormat="1" ht="18" customHeight="1">
      <c r="A458" s="3" t="str">
        <f>"21342019072722491895283"</f>
        <v>21342019072722491895283</v>
      </c>
      <c r="B458" s="3" t="s">
        <v>6</v>
      </c>
      <c r="C458" s="3" t="str">
        <f>"万伟芬"</f>
        <v>万伟芬</v>
      </c>
      <c r="D458" s="3" t="str">
        <f t="shared" si="7"/>
        <v>女</v>
      </c>
      <c r="E458" s="3" t="str">
        <f>"1990-05-12"</f>
        <v>1990-05-12</v>
      </c>
    </row>
    <row r="459" spans="1:5" s="4" customFormat="1" ht="18" customHeight="1">
      <c r="A459" s="3" t="str">
        <f>"21342019072722551895290"</f>
        <v>21342019072722551895290</v>
      </c>
      <c r="B459" s="3" t="s">
        <v>6</v>
      </c>
      <c r="C459" s="3" t="str">
        <f>"徐雪谕"</f>
        <v>徐雪谕</v>
      </c>
      <c r="D459" s="3" t="str">
        <f t="shared" si="7"/>
        <v>女</v>
      </c>
      <c r="E459" s="3" t="str">
        <f>"1996-06-08"</f>
        <v>1996-06-08</v>
      </c>
    </row>
    <row r="460" spans="1:5" s="4" customFormat="1" ht="18" customHeight="1">
      <c r="A460" s="3" t="str">
        <f>"21342019072723010195292"</f>
        <v>21342019072723010195292</v>
      </c>
      <c r="B460" s="3" t="s">
        <v>6</v>
      </c>
      <c r="C460" s="3" t="str">
        <f>"符懿尹"</f>
        <v>符懿尹</v>
      </c>
      <c r="D460" s="3" t="str">
        <f t="shared" si="7"/>
        <v>女</v>
      </c>
      <c r="E460" s="3" t="str">
        <f>"1993-12-16"</f>
        <v>1993-12-16</v>
      </c>
    </row>
    <row r="461" spans="1:5" s="4" customFormat="1" ht="18" customHeight="1">
      <c r="A461" s="3" t="str">
        <f>"21342019072723041395294"</f>
        <v>21342019072723041395294</v>
      </c>
      <c r="B461" s="3" t="s">
        <v>6</v>
      </c>
      <c r="C461" s="3" t="str">
        <f>"陈婷婷"</f>
        <v>陈婷婷</v>
      </c>
      <c r="D461" s="3" t="str">
        <f t="shared" si="7"/>
        <v>女</v>
      </c>
      <c r="E461" s="3" t="str">
        <f>"1999-03-10"</f>
        <v>1999-03-10</v>
      </c>
    </row>
    <row r="462" spans="1:5" s="4" customFormat="1" ht="18" customHeight="1">
      <c r="A462" s="3" t="str">
        <f>"21342019072723042595295"</f>
        <v>21342019072723042595295</v>
      </c>
      <c r="B462" s="3" t="s">
        <v>6</v>
      </c>
      <c r="C462" s="3" t="str">
        <f>"陈照美"</f>
        <v>陈照美</v>
      </c>
      <c r="D462" s="3" t="str">
        <f t="shared" si="7"/>
        <v>女</v>
      </c>
      <c r="E462" s="3" t="str">
        <f>"1989-12-07"</f>
        <v>1989-12-07</v>
      </c>
    </row>
    <row r="463" spans="1:5" s="4" customFormat="1" ht="18" customHeight="1">
      <c r="A463" s="3" t="str">
        <f>"21342019072723044195296"</f>
        <v>21342019072723044195296</v>
      </c>
      <c r="B463" s="3" t="s">
        <v>6</v>
      </c>
      <c r="C463" s="3" t="str">
        <f>"符沥元"</f>
        <v>符沥元</v>
      </c>
      <c r="D463" s="3" t="str">
        <f t="shared" si="7"/>
        <v>女</v>
      </c>
      <c r="E463" s="3" t="str">
        <f>"1998-02-01"</f>
        <v>1998-02-01</v>
      </c>
    </row>
    <row r="464" spans="1:5" s="4" customFormat="1" ht="18" customHeight="1">
      <c r="A464" s="3" t="str">
        <f>"21342019072723165195306"</f>
        <v>21342019072723165195306</v>
      </c>
      <c r="B464" s="3" t="s">
        <v>6</v>
      </c>
      <c r="C464" s="3" t="str">
        <f>"钟小金"</f>
        <v>钟小金</v>
      </c>
      <c r="D464" s="3" t="str">
        <f t="shared" si="7"/>
        <v>女</v>
      </c>
      <c r="E464" s="3" t="str">
        <f>"1991-07-10"</f>
        <v>1991-07-10</v>
      </c>
    </row>
    <row r="465" spans="1:5" s="4" customFormat="1" ht="18" customHeight="1">
      <c r="A465" s="3" t="str">
        <f>"21342019072723290895310"</f>
        <v>21342019072723290895310</v>
      </c>
      <c r="B465" s="3" t="s">
        <v>6</v>
      </c>
      <c r="C465" s="3" t="str">
        <f>"邓国香"</f>
        <v>邓国香</v>
      </c>
      <c r="D465" s="3" t="str">
        <f t="shared" si="7"/>
        <v>女</v>
      </c>
      <c r="E465" s="3" t="str">
        <f>"1993-09-05"</f>
        <v>1993-09-05</v>
      </c>
    </row>
    <row r="466" spans="1:5" s="4" customFormat="1" ht="18" customHeight="1">
      <c r="A466" s="3" t="str">
        <f>"21342019072723433495318"</f>
        <v>21342019072723433495318</v>
      </c>
      <c r="B466" s="3" t="s">
        <v>6</v>
      </c>
      <c r="C466" s="3" t="str">
        <f>"张晓"</f>
        <v>张晓</v>
      </c>
      <c r="D466" s="3" t="str">
        <f t="shared" si="7"/>
        <v>女</v>
      </c>
      <c r="E466" s="3" t="str">
        <f>"1994-05-14"</f>
        <v>1994-05-14</v>
      </c>
    </row>
    <row r="467" spans="1:5" s="4" customFormat="1" ht="18" customHeight="1">
      <c r="A467" s="3" t="str">
        <f>"21342019072723433895319"</f>
        <v>21342019072723433895319</v>
      </c>
      <c r="B467" s="3" t="s">
        <v>6</v>
      </c>
      <c r="C467" s="3" t="str">
        <f>"杨亚嫚"</f>
        <v>杨亚嫚</v>
      </c>
      <c r="D467" s="3" t="str">
        <f aca="true" t="shared" si="8" ref="D467:D530">"女"</f>
        <v>女</v>
      </c>
      <c r="E467" s="3" t="str">
        <f>"1993-09-01"</f>
        <v>1993-09-01</v>
      </c>
    </row>
    <row r="468" spans="1:5" s="4" customFormat="1" ht="18" customHeight="1">
      <c r="A468" s="3" t="str">
        <f>"21342019072723511495323"</f>
        <v>21342019072723511495323</v>
      </c>
      <c r="B468" s="3" t="s">
        <v>6</v>
      </c>
      <c r="C468" s="3" t="str">
        <f>"何曼波"</f>
        <v>何曼波</v>
      </c>
      <c r="D468" s="3" t="str">
        <f t="shared" si="8"/>
        <v>女</v>
      </c>
      <c r="E468" s="3" t="str">
        <f>"1992-11-14"</f>
        <v>1992-11-14</v>
      </c>
    </row>
    <row r="469" spans="1:5" s="4" customFormat="1" ht="18" customHeight="1">
      <c r="A469" s="3" t="str">
        <f>"21342019072723544995325"</f>
        <v>21342019072723544995325</v>
      </c>
      <c r="B469" s="3" t="s">
        <v>6</v>
      </c>
      <c r="C469" s="3" t="str">
        <f>"王玉娜"</f>
        <v>王玉娜</v>
      </c>
      <c r="D469" s="3" t="str">
        <f t="shared" si="8"/>
        <v>女</v>
      </c>
      <c r="E469" s="3" t="str">
        <f>"1994-06-03"</f>
        <v>1994-06-03</v>
      </c>
    </row>
    <row r="470" spans="1:5" s="4" customFormat="1" ht="18" customHeight="1">
      <c r="A470" s="3" t="str">
        <f>"21342019072723554795326"</f>
        <v>21342019072723554795326</v>
      </c>
      <c r="B470" s="3" t="s">
        <v>6</v>
      </c>
      <c r="C470" s="3" t="str">
        <f>"陈小妹"</f>
        <v>陈小妹</v>
      </c>
      <c r="D470" s="3" t="str">
        <f t="shared" si="8"/>
        <v>女</v>
      </c>
      <c r="E470" s="3" t="str">
        <f>"1992-08-18"</f>
        <v>1992-08-18</v>
      </c>
    </row>
    <row r="471" spans="1:5" s="4" customFormat="1" ht="18" customHeight="1">
      <c r="A471" s="3" t="str">
        <f>"21342019072800050595329"</f>
        <v>21342019072800050595329</v>
      </c>
      <c r="B471" s="3" t="s">
        <v>6</v>
      </c>
      <c r="C471" s="3" t="str">
        <f>"王美玉"</f>
        <v>王美玉</v>
      </c>
      <c r="D471" s="3" t="str">
        <f t="shared" si="8"/>
        <v>女</v>
      </c>
      <c r="E471" s="3" t="str">
        <f>"1997-09-27"</f>
        <v>1997-09-27</v>
      </c>
    </row>
    <row r="472" spans="1:5" s="4" customFormat="1" ht="18" customHeight="1">
      <c r="A472" s="3" t="str">
        <f>"21342019072800085095330"</f>
        <v>21342019072800085095330</v>
      </c>
      <c r="B472" s="3" t="s">
        <v>6</v>
      </c>
      <c r="C472" s="3" t="str">
        <f>"符慧珍"</f>
        <v>符慧珍</v>
      </c>
      <c r="D472" s="3" t="str">
        <f t="shared" si="8"/>
        <v>女</v>
      </c>
      <c r="E472" s="3" t="str">
        <f>"1992-05-05"</f>
        <v>1992-05-05</v>
      </c>
    </row>
    <row r="473" spans="1:5" s="4" customFormat="1" ht="18" customHeight="1">
      <c r="A473" s="3" t="str">
        <f>"21342019072800145395331"</f>
        <v>21342019072800145395331</v>
      </c>
      <c r="B473" s="3" t="s">
        <v>6</v>
      </c>
      <c r="C473" s="3" t="str">
        <f>"吴惠春"</f>
        <v>吴惠春</v>
      </c>
      <c r="D473" s="3" t="str">
        <f t="shared" si="8"/>
        <v>女</v>
      </c>
      <c r="E473" s="3" t="str">
        <f>"1996-01-07"</f>
        <v>1996-01-07</v>
      </c>
    </row>
    <row r="474" spans="1:5" s="4" customFormat="1" ht="18" customHeight="1">
      <c r="A474" s="3" t="str">
        <f>"21342019072800185795333"</f>
        <v>21342019072800185795333</v>
      </c>
      <c r="B474" s="3" t="s">
        <v>6</v>
      </c>
      <c r="C474" s="3" t="str">
        <f>"林娇妹"</f>
        <v>林娇妹</v>
      </c>
      <c r="D474" s="3" t="str">
        <f t="shared" si="8"/>
        <v>女</v>
      </c>
      <c r="E474" s="3" t="str">
        <f>"1994-06-05"</f>
        <v>1994-06-05</v>
      </c>
    </row>
    <row r="475" spans="1:5" s="4" customFormat="1" ht="18" customHeight="1">
      <c r="A475" s="3" t="str">
        <f>"21342019072800284295336"</f>
        <v>21342019072800284295336</v>
      </c>
      <c r="B475" s="3" t="s">
        <v>6</v>
      </c>
      <c r="C475" s="3" t="str">
        <f>"王彩真"</f>
        <v>王彩真</v>
      </c>
      <c r="D475" s="3" t="str">
        <f t="shared" si="8"/>
        <v>女</v>
      </c>
      <c r="E475" s="3" t="str">
        <f>"1995-08-15"</f>
        <v>1995-08-15</v>
      </c>
    </row>
    <row r="476" spans="1:5" s="4" customFormat="1" ht="18" customHeight="1">
      <c r="A476" s="3" t="str">
        <f>"21342019072800352195338"</f>
        <v>21342019072800352195338</v>
      </c>
      <c r="B476" s="3" t="s">
        <v>6</v>
      </c>
      <c r="C476" s="3" t="str">
        <f>"许艳环"</f>
        <v>许艳环</v>
      </c>
      <c r="D476" s="3" t="str">
        <f t="shared" si="8"/>
        <v>女</v>
      </c>
      <c r="E476" s="3" t="str">
        <f>"1995-02-24"</f>
        <v>1995-02-24</v>
      </c>
    </row>
    <row r="477" spans="1:5" s="4" customFormat="1" ht="18" customHeight="1">
      <c r="A477" s="3" t="str">
        <f>"21342019072800452695340"</f>
        <v>21342019072800452695340</v>
      </c>
      <c r="B477" s="3" t="s">
        <v>6</v>
      </c>
      <c r="C477" s="3" t="str">
        <f>"李琼妍"</f>
        <v>李琼妍</v>
      </c>
      <c r="D477" s="3" t="str">
        <f t="shared" si="8"/>
        <v>女</v>
      </c>
      <c r="E477" s="3" t="str">
        <f>"1991-01-02"</f>
        <v>1991-01-02</v>
      </c>
    </row>
    <row r="478" spans="1:5" s="4" customFormat="1" ht="18" customHeight="1">
      <c r="A478" s="3" t="str">
        <f>"21342019072800540895341"</f>
        <v>21342019072800540895341</v>
      </c>
      <c r="B478" s="3" t="s">
        <v>6</v>
      </c>
      <c r="C478" s="3" t="str">
        <f>"周美伶"</f>
        <v>周美伶</v>
      </c>
      <c r="D478" s="3" t="str">
        <f t="shared" si="8"/>
        <v>女</v>
      </c>
      <c r="E478" s="3" t="str">
        <f>"1998-03-03"</f>
        <v>1998-03-03</v>
      </c>
    </row>
    <row r="479" spans="1:5" s="4" customFormat="1" ht="18" customHeight="1">
      <c r="A479" s="3" t="str">
        <f>"21342019072801015295342"</f>
        <v>21342019072801015295342</v>
      </c>
      <c r="B479" s="3" t="s">
        <v>6</v>
      </c>
      <c r="C479" s="3" t="str">
        <f>"吴文妃"</f>
        <v>吴文妃</v>
      </c>
      <c r="D479" s="3" t="str">
        <f t="shared" si="8"/>
        <v>女</v>
      </c>
      <c r="E479" s="3" t="str">
        <f>"1995-06-21"</f>
        <v>1995-06-21</v>
      </c>
    </row>
    <row r="480" spans="1:5" s="4" customFormat="1" ht="18" customHeight="1">
      <c r="A480" s="3" t="str">
        <f>"21342019072801020595343"</f>
        <v>21342019072801020595343</v>
      </c>
      <c r="B480" s="3" t="s">
        <v>6</v>
      </c>
      <c r="C480" s="3" t="str">
        <f>"许粤秀"</f>
        <v>许粤秀</v>
      </c>
      <c r="D480" s="3" t="str">
        <f t="shared" si="8"/>
        <v>女</v>
      </c>
      <c r="E480" s="3" t="str">
        <f>"1996-10-08"</f>
        <v>1996-10-08</v>
      </c>
    </row>
    <row r="481" spans="1:5" s="4" customFormat="1" ht="18" customHeight="1">
      <c r="A481" s="3" t="str">
        <f>"21342019072801154695345"</f>
        <v>21342019072801154695345</v>
      </c>
      <c r="B481" s="3" t="s">
        <v>6</v>
      </c>
      <c r="C481" s="3" t="str">
        <f>"刘晏君"</f>
        <v>刘晏君</v>
      </c>
      <c r="D481" s="3" t="str">
        <f t="shared" si="8"/>
        <v>女</v>
      </c>
      <c r="E481" s="3" t="str">
        <f>"1996-10-17"</f>
        <v>1996-10-17</v>
      </c>
    </row>
    <row r="482" spans="1:5" s="4" customFormat="1" ht="18" customHeight="1">
      <c r="A482" s="3" t="str">
        <f>"21342019072801160795346"</f>
        <v>21342019072801160795346</v>
      </c>
      <c r="B482" s="3" t="s">
        <v>6</v>
      </c>
      <c r="C482" s="3" t="str">
        <f>"张丽莹"</f>
        <v>张丽莹</v>
      </c>
      <c r="D482" s="3" t="str">
        <f t="shared" si="8"/>
        <v>女</v>
      </c>
      <c r="E482" s="3" t="str">
        <f>"1991-10-05"</f>
        <v>1991-10-05</v>
      </c>
    </row>
    <row r="483" spans="1:5" s="4" customFormat="1" ht="18" customHeight="1">
      <c r="A483" s="3" t="str">
        <f>"21342019072801172295347"</f>
        <v>21342019072801172295347</v>
      </c>
      <c r="B483" s="3" t="s">
        <v>6</v>
      </c>
      <c r="C483" s="3" t="str">
        <f>"陈诗琴"</f>
        <v>陈诗琴</v>
      </c>
      <c r="D483" s="3" t="str">
        <f t="shared" si="8"/>
        <v>女</v>
      </c>
      <c r="E483" s="3" t="str">
        <f>"1994-09-26"</f>
        <v>1994-09-26</v>
      </c>
    </row>
    <row r="484" spans="1:5" s="4" customFormat="1" ht="18" customHeight="1">
      <c r="A484" s="3" t="str">
        <f>"21342019072802534895348"</f>
        <v>21342019072802534895348</v>
      </c>
      <c r="B484" s="3" t="s">
        <v>6</v>
      </c>
      <c r="C484" s="3" t="str">
        <f>"王少华"</f>
        <v>王少华</v>
      </c>
      <c r="D484" s="3" t="str">
        <f t="shared" si="8"/>
        <v>女</v>
      </c>
      <c r="E484" s="3" t="str">
        <f>"1997-09-27"</f>
        <v>1997-09-27</v>
      </c>
    </row>
    <row r="485" spans="1:5" s="4" customFormat="1" ht="18" customHeight="1">
      <c r="A485" s="3" t="str">
        <f>"21342019072807205495364"</f>
        <v>21342019072807205495364</v>
      </c>
      <c r="B485" s="3" t="s">
        <v>6</v>
      </c>
      <c r="C485" s="3" t="str">
        <f>"朱秀风"</f>
        <v>朱秀风</v>
      </c>
      <c r="D485" s="3" t="str">
        <f t="shared" si="8"/>
        <v>女</v>
      </c>
      <c r="E485" s="3" t="str">
        <f>"1995-12-15"</f>
        <v>1995-12-15</v>
      </c>
    </row>
    <row r="486" spans="1:5" s="4" customFormat="1" ht="18" customHeight="1">
      <c r="A486" s="3" t="str">
        <f>"21342019072807432295370"</f>
        <v>21342019072807432295370</v>
      </c>
      <c r="B486" s="3" t="s">
        <v>6</v>
      </c>
      <c r="C486" s="3" t="str">
        <f>"罗旺婷"</f>
        <v>罗旺婷</v>
      </c>
      <c r="D486" s="3" t="str">
        <f t="shared" si="8"/>
        <v>女</v>
      </c>
      <c r="E486" s="3" t="str">
        <f>"1992-04-10"</f>
        <v>1992-04-10</v>
      </c>
    </row>
    <row r="487" spans="1:5" s="4" customFormat="1" ht="18" customHeight="1">
      <c r="A487" s="3" t="str">
        <f>"21342019072807490095371"</f>
        <v>21342019072807490095371</v>
      </c>
      <c r="B487" s="3" t="s">
        <v>6</v>
      </c>
      <c r="C487" s="3" t="str">
        <f>"张丹"</f>
        <v>张丹</v>
      </c>
      <c r="D487" s="3" t="str">
        <f t="shared" si="8"/>
        <v>女</v>
      </c>
      <c r="E487" s="3" t="str">
        <f>"1991-08-19"</f>
        <v>1991-08-19</v>
      </c>
    </row>
    <row r="488" spans="1:5" s="4" customFormat="1" ht="18" customHeight="1">
      <c r="A488" s="3" t="str">
        <f>"21342019072808085995379"</f>
        <v>21342019072808085995379</v>
      </c>
      <c r="B488" s="3" t="s">
        <v>6</v>
      </c>
      <c r="C488" s="3" t="str">
        <f>"钟雅晶"</f>
        <v>钟雅晶</v>
      </c>
      <c r="D488" s="3" t="str">
        <f t="shared" si="8"/>
        <v>女</v>
      </c>
      <c r="E488" s="3" t="str">
        <f>"1989-12-24"</f>
        <v>1989-12-24</v>
      </c>
    </row>
    <row r="489" spans="1:5" s="4" customFormat="1" ht="18" customHeight="1">
      <c r="A489" s="3" t="str">
        <f>"21342019072808110795381"</f>
        <v>21342019072808110795381</v>
      </c>
      <c r="B489" s="3" t="s">
        <v>6</v>
      </c>
      <c r="C489" s="3" t="str">
        <f>"黄露"</f>
        <v>黄露</v>
      </c>
      <c r="D489" s="3" t="str">
        <f t="shared" si="8"/>
        <v>女</v>
      </c>
      <c r="E489" s="3" t="str">
        <f>"1998-10-06"</f>
        <v>1998-10-06</v>
      </c>
    </row>
    <row r="490" spans="1:5" s="4" customFormat="1" ht="18" customHeight="1">
      <c r="A490" s="3" t="str">
        <f>"21342019072808343995398"</f>
        <v>21342019072808343995398</v>
      </c>
      <c r="B490" s="3" t="s">
        <v>6</v>
      </c>
      <c r="C490" s="3" t="str">
        <f>"张瑞霞"</f>
        <v>张瑞霞</v>
      </c>
      <c r="D490" s="3" t="str">
        <f t="shared" si="8"/>
        <v>女</v>
      </c>
      <c r="E490" s="3" t="str">
        <f>"1996-05-02"</f>
        <v>1996-05-02</v>
      </c>
    </row>
    <row r="491" spans="1:5" s="4" customFormat="1" ht="18" customHeight="1">
      <c r="A491" s="3" t="str">
        <f>"21342019072808401795405"</f>
        <v>21342019072808401795405</v>
      </c>
      <c r="B491" s="3" t="s">
        <v>6</v>
      </c>
      <c r="C491" s="3" t="str">
        <f>"吴春香"</f>
        <v>吴春香</v>
      </c>
      <c r="D491" s="3" t="str">
        <f t="shared" si="8"/>
        <v>女</v>
      </c>
      <c r="E491" s="3" t="str">
        <f>"1989-10-05"</f>
        <v>1989-10-05</v>
      </c>
    </row>
    <row r="492" spans="1:5" s="4" customFormat="1" ht="18" customHeight="1">
      <c r="A492" s="3" t="str">
        <f>"21342019072808484295410"</f>
        <v>21342019072808484295410</v>
      </c>
      <c r="B492" s="3" t="s">
        <v>6</v>
      </c>
      <c r="C492" s="3" t="str">
        <f>"赵春娜"</f>
        <v>赵春娜</v>
      </c>
      <c r="D492" s="3" t="str">
        <f t="shared" si="8"/>
        <v>女</v>
      </c>
      <c r="E492" s="3" t="str">
        <f>"1995-12-08"</f>
        <v>1995-12-08</v>
      </c>
    </row>
    <row r="493" spans="1:5" s="4" customFormat="1" ht="18" customHeight="1">
      <c r="A493" s="3" t="str">
        <f>"21342019072808561495415"</f>
        <v>21342019072808561495415</v>
      </c>
      <c r="B493" s="3" t="s">
        <v>6</v>
      </c>
      <c r="C493" s="3" t="str">
        <f>"周金英"</f>
        <v>周金英</v>
      </c>
      <c r="D493" s="3" t="str">
        <f t="shared" si="8"/>
        <v>女</v>
      </c>
      <c r="E493" s="3" t="str">
        <f>"1996-10-16"</f>
        <v>1996-10-16</v>
      </c>
    </row>
    <row r="494" spans="1:5" s="4" customFormat="1" ht="18" customHeight="1">
      <c r="A494" s="3" t="str">
        <f>"21342019072808581795416"</f>
        <v>21342019072808581795416</v>
      </c>
      <c r="B494" s="3" t="s">
        <v>6</v>
      </c>
      <c r="C494" s="3" t="str">
        <f>"文晓满"</f>
        <v>文晓满</v>
      </c>
      <c r="D494" s="3" t="str">
        <f t="shared" si="8"/>
        <v>女</v>
      </c>
      <c r="E494" s="3" t="str">
        <f>"1995-02-06"</f>
        <v>1995-02-06</v>
      </c>
    </row>
    <row r="495" spans="1:5" s="4" customFormat="1" ht="18" customHeight="1">
      <c r="A495" s="3" t="str">
        <f>"21342019072809071695423"</f>
        <v>21342019072809071695423</v>
      </c>
      <c r="B495" s="3" t="s">
        <v>6</v>
      </c>
      <c r="C495" s="3" t="str">
        <f>"陈美儒"</f>
        <v>陈美儒</v>
      </c>
      <c r="D495" s="3" t="str">
        <f t="shared" si="8"/>
        <v>女</v>
      </c>
      <c r="E495" s="3" t="str">
        <f>"1995-03-10"</f>
        <v>1995-03-10</v>
      </c>
    </row>
    <row r="496" spans="1:5" s="4" customFormat="1" ht="18" customHeight="1">
      <c r="A496" s="3" t="str">
        <f>"21342019072809170595436"</f>
        <v>21342019072809170595436</v>
      </c>
      <c r="B496" s="3" t="s">
        <v>6</v>
      </c>
      <c r="C496" s="3" t="str">
        <f>"李少灵"</f>
        <v>李少灵</v>
      </c>
      <c r="D496" s="3" t="str">
        <f t="shared" si="8"/>
        <v>女</v>
      </c>
      <c r="E496" s="3" t="str">
        <f>"1995-07-10"</f>
        <v>1995-07-10</v>
      </c>
    </row>
    <row r="497" spans="1:5" s="4" customFormat="1" ht="18" customHeight="1">
      <c r="A497" s="3" t="str">
        <f>"21342019072809172195438"</f>
        <v>21342019072809172195438</v>
      </c>
      <c r="B497" s="3" t="s">
        <v>6</v>
      </c>
      <c r="C497" s="3" t="str">
        <f>"谢婷婷"</f>
        <v>谢婷婷</v>
      </c>
      <c r="D497" s="3" t="str">
        <f t="shared" si="8"/>
        <v>女</v>
      </c>
      <c r="E497" s="3" t="str">
        <f>"1998-05-12"</f>
        <v>1998-05-12</v>
      </c>
    </row>
    <row r="498" spans="1:5" s="4" customFormat="1" ht="18" customHeight="1">
      <c r="A498" s="3" t="str">
        <f>"21342019072809193795441"</f>
        <v>21342019072809193795441</v>
      </c>
      <c r="B498" s="3" t="s">
        <v>6</v>
      </c>
      <c r="C498" s="3" t="str">
        <f>"陈琼丽"</f>
        <v>陈琼丽</v>
      </c>
      <c r="D498" s="3" t="str">
        <f t="shared" si="8"/>
        <v>女</v>
      </c>
      <c r="E498" s="3" t="str">
        <f>"1995-10-11"</f>
        <v>1995-10-11</v>
      </c>
    </row>
    <row r="499" spans="1:5" s="4" customFormat="1" ht="18" customHeight="1">
      <c r="A499" s="3" t="str">
        <f>"21342019072809230095447"</f>
        <v>21342019072809230095447</v>
      </c>
      <c r="B499" s="3" t="s">
        <v>6</v>
      </c>
      <c r="C499" s="3" t="str">
        <f>"陈柳蓉"</f>
        <v>陈柳蓉</v>
      </c>
      <c r="D499" s="3" t="str">
        <f t="shared" si="8"/>
        <v>女</v>
      </c>
      <c r="E499" s="3" t="str">
        <f>"1996-02-17"</f>
        <v>1996-02-17</v>
      </c>
    </row>
    <row r="500" spans="1:5" s="4" customFormat="1" ht="18" customHeight="1">
      <c r="A500" s="3" t="str">
        <f>"21342019072809251195449"</f>
        <v>21342019072809251195449</v>
      </c>
      <c r="B500" s="3" t="s">
        <v>6</v>
      </c>
      <c r="C500" s="3" t="str">
        <f>"陈翠"</f>
        <v>陈翠</v>
      </c>
      <c r="D500" s="3" t="str">
        <f t="shared" si="8"/>
        <v>女</v>
      </c>
      <c r="E500" s="3" t="str">
        <f>"1989-09-04"</f>
        <v>1989-09-04</v>
      </c>
    </row>
    <row r="501" spans="1:5" s="4" customFormat="1" ht="18" customHeight="1">
      <c r="A501" s="3" t="str">
        <f>"21342019072809253995451"</f>
        <v>21342019072809253995451</v>
      </c>
      <c r="B501" s="3" t="s">
        <v>6</v>
      </c>
      <c r="C501" s="3" t="str">
        <f>"蔡爱妹"</f>
        <v>蔡爱妹</v>
      </c>
      <c r="D501" s="3" t="str">
        <f t="shared" si="8"/>
        <v>女</v>
      </c>
      <c r="E501" s="3" t="str">
        <f>"1992-05-05"</f>
        <v>1992-05-05</v>
      </c>
    </row>
    <row r="502" spans="1:5" s="4" customFormat="1" ht="18" customHeight="1">
      <c r="A502" s="3" t="str">
        <f>"21342019072809255795452"</f>
        <v>21342019072809255795452</v>
      </c>
      <c r="B502" s="3" t="s">
        <v>6</v>
      </c>
      <c r="C502" s="3" t="str">
        <f>"王海虹"</f>
        <v>王海虹</v>
      </c>
      <c r="D502" s="3" t="str">
        <f t="shared" si="8"/>
        <v>女</v>
      </c>
      <c r="E502" s="3" t="str">
        <f>"1994-10-06"</f>
        <v>1994-10-06</v>
      </c>
    </row>
    <row r="503" spans="1:5" s="4" customFormat="1" ht="18" customHeight="1">
      <c r="A503" s="3" t="str">
        <f>"21342019072809293295456"</f>
        <v>21342019072809293295456</v>
      </c>
      <c r="B503" s="3" t="s">
        <v>6</v>
      </c>
      <c r="C503" s="3" t="str">
        <f>"唐姣姣"</f>
        <v>唐姣姣</v>
      </c>
      <c r="D503" s="3" t="str">
        <f t="shared" si="8"/>
        <v>女</v>
      </c>
      <c r="E503" s="3" t="str">
        <f>"1996-09-06"</f>
        <v>1996-09-06</v>
      </c>
    </row>
    <row r="504" spans="1:5" s="4" customFormat="1" ht="18" customHeight="1">
      <c r="A504" s="3" t="str">
        <f>"21342019072809303495457"</f>
        <v>21342019072809303495457</v>
      </c>
      <c r="B504" s="3" t="s">
        <v>6</v>
      </c>
      <c r="C504" s="3" t="str">
        <f>"劳丽颖"</f>
        <v>劳丽颖</v>
      </c>
      <c r="D504" s="3" t="str">
        <f t="shared" si="8"/>
        <v>女</v>
      </c>
      <c r="E504" s="3" t="str">
        <f>"1999-04-13"</f>
        <v>1999-04-13</v>
      </c>
    </row>
    <row r="505" spans="1:5" s="4" customFormat="1" ht="18" customHeight="1">
      <c r="A505" s="3" t="str">
        <f>"21342019072809324695461"</f>
        <v>21342019072809324695461</v>
      </c>
      <c r="B505" s="3" t="s">
        <v>6</v>
      </c>
      <c r="C505" s="3" t="str">
        <f>"吴孟嫒"</f>
        <v>吴孟嫒</v>
      </c>
      <c r="D505" s="3" t="str">
        <f t="shared" si="8"/>
        <v>女</v>
      </c>
      <c r="E505" s="3" t="str">
        <f>"1992-07-08"</f>
        <v>1992-07-08</v>
      </c>
    </row>
    <row r="506" spans="1:5" s="4" customFormat="1" ht="18" customHeight="1">
      <c r="A506" s="3" t="str">
        <f>"21342019072809333695462"</f>
        <v>21342019072809333695462</v>
      </c>
      <c r="B506" s="3" t="s">
        <v>6</v>
      </c>
      <c r="C506" s="3" t="str">
        <f>"连奕茵"</f>
        <v>连奕茵</v>
      </c>
      <c r="D506" s="3" t="str">
        <f t="shared" si="8"/>
        <v>女</v>
      </c>
      <c r="E506" s="3" t="str">
        <f>"1998-07-19"</f>
        <v>1998-07-19</v>
      </c>
    </row>
    <row r="507" spans="1:5" s="4" customFormat="1" ht="18" customHeight="1">
      <c r="A507" s="3" t="str">
        <f>"21342019072809350595463"</f>
        <v>21342019072809350595463</v>
      </c>
      <c r="B507" s="3" t="s">
        <v>6</v>
      </c>
      <c r="C507" s="3" t="str">
        <f>"吴月连"</f>
        <v>吴月连</v>
      </c>
      <c r="D507" s="3" t="str">
        <f t="shared" si="8"/>
        <v>女</v>
      </c>
      <c r="E507" s="3" t="str">
        <f>"1990-07-19"</f>
        <v>1990-07-19</v>
      </c>
    </row>
    <row r="508" spans="1:5" s="4" customFormat="1" ht="18" customHeight="1">
      <c r="A508" s="3" t="str">
        <f>"21342019072809401395470"</f>
        <v>21342019072809401395470</v>
      </c>
      <c r="B508" s="3" t="s">
        <v>6</v>
      </c>
      <c r="C508" s="3" t="str">
        <f>"李金菊"</f>
        <v>李金菊</v>
      </c>
      <c r="D508" s="3" t="str">
        <f t="shared" si="8"/>
        <v>女</v>
      </c>
      <c r="E508" s="3" t="str">
        <f>"1995-05-24"</f>
        <v>1995-05-24</v>
      </c>
    </row>
    <row r="509" spans="1:5" s="4" customFormat="1" ht="18" customHeight="1">
      <c r="A509" s="3" t="str">
        <f>"21342019072809433295473"</f>
        <v>21342019072809433295473</v>
      </c>
      <c r="B509" s="3" t="s">
        <v>6</v>
      </c>
      <c r="C509" s="3" t="str">
        <f>"郭博月"</f>
        <v>郭博月</v>
      </c>
      <c r="D509" s="3" t="str">
        <f t="shared" si="8"/>
        <v>女</v>
      </c>
      <c r="E509" s="3" t="str">
        <f>"1992-08-03"</f>
        <v>1992-08-03</v>
      </c>
    </row>
    <row r="510" spans="1:5" s="4" customFormat="1" ht="18" customHeight="1">
      <c r="A510" s="3" t="str">
        <f>"21342019072809462195475"</f>
        <v>21342019072809462195475</v>
      </c>
      <c r="B510" s="3" t="s">
        <v>6</v>
      </c>
      <c r="C510" s="3" t="str">
        <f>"符连英"</f>
        <v>符连英</v>
      </c>
      <c r="D510" s="3" t="str">
        <f t="shared" si="8"/>
        <v>女</v>
      </c>
      <c r="E510" s="3" t="str">
        <f>"1994-01-07"</f>
        <v>1994-01-07</v>
      </c>
    </row>
    <row r="511" spans="1:5" s="4" customFormat="1" ht="18" customHeight="1">
      <c r="A511" s="3" t="str">
        <f>"21342019072809530295483"</f>
        <v>21342019072809530295483</v>
      </c>
      <c r="B511" s="3" t="s">
        <v>6</v>
      </c>
      <c r="C511" s="3" t="str">
        <f>"朱万联"</f>
        <v>朱万联</v>
      </c>
      <c r="D511" s="3" t="str">
        <f t="shared" si="8"/>
        <v>女</v>
      </c>
      <c r="E511" s="3" t="str">
        <f>"1995-01-19"</f>
        <v>1995-01-19</v>
      </c>
    </row>
    <row r="512" spans="1:5" s="4" customFormat="1" ht="18" customHeight="1">
      <c r="A512" s="3" t="str">
        <f>"21342019072809550295485"</f>
        <v>21342019072809550295485</v>
      </c>
      <c r="B512" s="3" t="s">
        <v>6</v>
      </c>
      <c r="C512" s="3" t="str">
        <f>"冯登珠"</f>
        <v>冯登珠</v>
      </c>
      <c r="D512" s="3" t="str">
        <f t="shared" si="8"/>
        <v>女</v>
      </c>
      <c r="E512" s="3" t="str">
        <f>"1993-07-10"</f>
        <v>1993-07-10</v>
      </c>
    </row>
    <row r="513" spans="1:5" s="4" customFormat="1" ht="18" customHeight="1">
      <c r="A513" s="3" t="str">
        <f>"21342019072809583395487"</f>
        <v>21342019072809583395487</v>
      </c>
      <c r="B513" s="3" t="s">
        <v>6</v>
      </c>
      <c r="C513" s="3" t="str">
        <f>"赵诗惠"</f>
        <v>赵诗惠</v>
      </c>
      <c r="D513" s="3" t="str">
        <f t="shared" si="8"/>
        <v>女</v>
      </c>
      <c r="E513" s="3" t="str">
        <f>"1993-12-08"</f>
        <v>1993-12-08</v>
      </c>
    </row>
    <row r="514" spans="1:5" s="4" customFormat="1" ht="18" customHeight="1">
      <c r="A514" s="3" t="str">
        <f>"21342019072810023495492"</f>
        <v>21342019072810023495492</v>
      </c>
      <c r="B514" s="3" t="s">
        <v>6</v>
      </c>
      <c r="C514" s="3" t="str">
        <f>"陈江红"</f>
        <v>陈江红</v>
      </c>
      <c r="D514" s="3" t="str">
        <f t="shared" si="8"/>
        <v>女</v>
      </c>
      <c r="E514" s="3" t="str">
        <f>"1991-09-09"</f>
        <v>1991-09-09</v>
      </c>
    </row>
    <row r="515" spans="1:5" s="4" customFormat="1" ht="18" customHeight="1">
      <c r="A515" s="3" t="str">
        <f>"21342019072810030395493"</f>
        <v>21342019072810030395493</v>
      </c>
      <c r="B515" s="3" t="s">
        <v>6</v>
      </c>
      <c r="C515" s="3" t="str">
        <f>"曾嫣"</f>
        <v>曾嫣</v>
      </c>
      <c r="D515" s="3" t="str">
        <f t="shared" si="8"/>
        <v>女</v>
      </c>
      <c r="E515" s="3" t="str">
        <f>"1999-06-17"</f>
        <v>1999-06-17</v>
      </c>
    </row>
    <row r="516" spans="1:5" s="4" customFormat="1" ht="18" customHeight="1">
      <c r="A516" s="3" t="str">
        <f>"21342019072810064095496"</f>
        <v>21342019072810064095496</v>
      </c>
      <c r="B516" s="3" t="s">
        <v>6</v>
      </c>
      <c r="C516" s="3" t="str">
        <f>"王娟"</f>
        <v>王娟</v>
      </c>
      <c r="D516" s="3" t="str">
        <f t="shared" si="8"/>
        <v>女</v>
      </c>
      <c r="E516" s="3" t="str">
        <f>"1995-01-05"</f>
        <v>1995-01-05</v>
      </c>
    </row>
    <row r="517" spans="1:5" s="4" customFormat="1" ht="18" customHeight="1">
      <c r="A517" s="3" t="str">
        <f>"21342019072810155895500"</f>
        <v>21342019072810155895500</v>
      </c>
      <c r="B517" s="3" t="s">
        <v>6</v>
      </c>
      <c r="C517" s="3" t="str">
        <f>"包有美"</f>
        <v>包有美</v>
      </c>
      <c r="D517" s="3" t="str">
        <f t="shared" si="8"/>
        <v>女</v>
      </c>
      <c r="E517" s="3" t="str">
        <f>"1995-02-01"</f>
        <v>1995-02-01</v>
      </c>
    </row>
    <row r="518" spans="1:5" s="4" customFormat="1" ht="18" customHeight="1">
      <c r="A518" s="3" t="str">
        <f>"21342019072810211595502"</f>
        <v>21342019072810211595502</v>
      </c>
      <c r="B518" s="3" t="s">
        <v>6</v>
      </c>
      <c r="C518" s="3" t="str">
        <f>"邢娜"</f>
        <v>邢娜</v>
      </c>
      <c r="D518" s="3" t="str">
        <f t="shared" si="8"/>
        <v>女</v>
      </c>
      <c r="E518" s="3" t="str">
        <f>"1994-12-01"</f>
        <v>1994-12-01</v>
      </c>
    </row>
    <row r="519" spans="1:5" s="4" customFormat="1" ht="18" customHeight="1">
      <c r="A519" s="3" t="str">
        <f>"21342019072810225295508"</f>
        <v>21342019072810225295508</v>
      </c>
      <c r="B519" s="3" t="s">
        <v>6</v>
      </c>
      <c r="C519" s="3" t="str">
        <f>"张生美"</f>
        <v>张生美</v>
      </c>
      <c r="D519" s="3" t="str">
        <f t="shared" si="8"/>
        <v>女</v>
      </c>
      <c r="E519" s="3" t="str">
        <f>"1991-02-10"</f>
        <v>1991-02-10</v>
      </c>
    </row>
    <row r="520" spans="1:5" s="4" customFormat="1" ht="18" customHeight="1">
      <c r="A520" s="3" t="str">
        <f>"21342019072810260195511"</f>
        <v>21342019072810260195511</v>
      </c>
      <c r="B520" s="3" t="s">
        <v>6</v>
      </c>
      <c r="C520" s="3" t="str">
        <f>"罗小慧"</f>
        <v>罗小慧</v>
      </c>
      <c r="D520" s="3" t="str">
        <f t="shared" si="8"/>
        <v>女</v>
      </c>
      <c r="E520" s="3" t="str">
        <f>"1994-07-28"</f>
        <v>1994-07-28</v>
      </c>
    </row>
    <row r="521" spans="1:5" s="4" customFormat="1" ht="18" customHeight="1">
      <c r="A521" s="3" t="str">
        <f>"21342019072810260495512"</f>
        <v>21342019072810260495512</v>
      </c>
      <c r="B521" s="3" t="s">
        <v>6</v>
      </c>
      <c r="C521" s="3" t="str">
        <f>"王丽苹"</f>
        <v>王丽苹</v>
      </c>
      <c r="D521" s="3" t="str">
        <f t="shared" si="8"/>
        <v>女</v>
      </c>
      <c r="E521" s="3" t="str">
        <f>"1990-01-01"</f>
        <v>1990-01-01</v>
      </c>
    </row>
    <row r="522" spans="1:5" s="4" customFormat="1" ht="18" customHeight="1">
      <c r="A522" s="3" t="str">
        <f>"21342019072810265295513"</f>
        <v>21342019072810265295513</v>
      </c>
      <c r="B522" s="3" t="s">
        <v>6</v>
      </c>
      <c r="C522" s="3" t="str">
        <f>"刘小霞"</f>
        <v>刘小霞</v>
      </c>
      <c r="D522" s="3" t="str">
        <f t="shared" si="8"/>
        <v>女</v>
      </c>
      <c r="E522" s="3" t="str">
        <f>"1990-03-13"</f>
        <v>1990-03-13</v>
      </c>
    </row>
    <row r="523" spans="1:5" s="4" customFormat="1" ht="18" customHeight="1">
      <c r="A523" s="3" t="str">
        <f>"21342019072810333395517"</f>
        <v>21342019072810333395517</v>
      </c>
      <c r="B523" s="3" t="s">
        <v>6</v>
      </c>
      <c r="C523" s="3" t="str">
        <f>"钟吉玲"</f>
        <v>钟吉玲</v>
      </c>
      <c r="D523" s="3" t="str">
        <f t="shared" si="8"/>
        <v>女</v>
      </c>
      <c r="E523" s="3" t="str">
        <f>"1991-07-15"</f>
        <v>1991-07-15</v>
      </c>
    </row>
    <row r="524" spans="1:5" s="4" customFormat="1" ht="18" customHeight="1">
      <c r="A524" s="3" t="str">
        <f>"21342019072810333395518"</f>
        <v>21342019072810333395518</v>
      </c>
      <c r="B524" s="3" t="s">
        <v>6</v>
      </c>
      <c r="C524" s="3" t="str">
        <f>"徐英丹"</f>
        <v>徐英丹</v>
      </c>
      <c r="D524" s="3" t="str">
        <f t="shared" si="8"/>
        <v>女</v>
      </c>
      <c r="E524" s="3" t="str">
        <f>"1991-05-06"</f>
        <v>1991-05-06</v>
      </c>
    </row>
    <row r="525" spans="1:5" s="4" customFormat="1" ht="18" customHeight="1">
      <c r="A525" s="3" t="str">
        <f>"21342019072810334995519"</f>
        <v>21342019072810334995519</v>
      </c>
      <c r="B525" s="3" t="s">
        <v>6</v>
      </c>
      <c r="C525" s="3" t="str">
        <f>"杨小雨"</f>
        <v>杨小雨</v>
      </c>
      <c r="D525" s="3" t="str">
        <f t="shared" si="8"/>
        <v>女</v>
      </c>
      <c r="E525" s="3" t="str">
        <f>"1997-02-07"</f>
        <v>1997-02-07</v>
      </c>
    </row>
    <row r="526" spans="1:5" s="4" customFormat="1" ht="18" customHeight="1">
      <c r="A526" s="3" t="str">
        <f>"21342019072810353695520"</f>
        <v>21342019072810353695520</v>
      </c>
      <c r="B526" s="3" t="s">
        <v>6</v>
      </c>
      <c r="C526" s="3" t="str">
        <f>"许花"</f>
        <v>许花</v>
      </c>
      <c r="D526" s="3" t="str">
        <f t="shared" si="8"/>
        <v>女</v>
      </c>
      <c r="E526" s="3" t="str">
        <f>"1992-06-21"</f>
        <v>1992-06-21</v>
      </c>
    </row>
    <row r="527" spans="1:5" s="4" customFormat="1" ht="18" customHeight="1">
      <c r="A527" s="3" t="str">
        <f>"21342019072810412895524"</f>
        <v>21342019072810412895524</v>
      </c>
      <c r="B527" s="3" t="s">
        <v>6</v>
      </c>
      <c r="C527" s="3" t="str">
        <f>"许谜"</f>
        <v>许谜</v>
      </c>
      <c r="D527" s="3" t="str">
        <f t="shared" si="8"/>
        <v>女</v>
      </c>
      <c r="E527" s="3" t="str">
        <f>"1997-01-19"</f>
        <v>1997-01-19</v>
      </c>
    </row>
    <row r="528" spans="1:5" s="4" customFormat="1" ht="18" customHeight="1">
      <c r="A528" s="3" t="str">
        <f>"21342019072810423995525"</f>
        <v>21342019072810423995525</v>
      </c>
      <c r="B528" s="3" t="s">
        <v>6</v>
      </c>
      <c r="C528" s="3" t="str">
        <f>"薛小蕾"</f>
        <v>薛小蕾</v>
      </c>
      <c r="D528" s="3" t="str">
        <f t="shared" si="8"/>
        <v>女</v>
      </c>
      <c r="E528" s="3" t="str">
        <f>"1996-02-13"</f>
        <v>1996-02-13</v>
      </c>
    </row>
    <row r="529" spans="1:5" s="4" customFormat="1" ht="18" customHeight="1">
      <c r="A529" s="3" t="str">
        <f>"21342019072810431595526"</f>
        <v>21342019072810431595526</v>
      </c>
      <c r="B529" s="3" t="s">
        <v>6</v>
      </c>
      <c r="C529" s="3" t="str">
        <f>"符日遵"</f>
        <v>符日遵</v>
      </c>
      <c r="D529" s="3" t="str">
        <f t="shared" si="8"/>
        <v>女</v>
      </c>
      <c r="E529" s="3" t="str">
        <f>"1997-11-21"</f>
        <v>1997-11-21</v>
      </c>
    </row>
    <row r="530" spans="1:5" s="4" customFormat="1" ht="18" customHeight="1">
      <c r="A530" s="3" t="str">
        <f>"21342019072810460095530"</f>
        <v>21342019072810460095530</v>
      </c>
      <c r="B530" s="3" t="s">
        <v>6</v>
      </c>
      <c r="C530" s="3" t="str">
        <f>"肖雪岚"</f>
        <v>肖雪岚</v>
      </c>
      <c r="D530" s="3" t="str">
        <f t="shared" si="8"/>
        <v>女</v>
      </c>
      <c r="E530" s="3" t="str">
        <f>"1994-07-16"</f>
        <v>1994-07-16</v>
      </c>
    </row>
    <row r="531" spans="1:5" s="4" customFormat="1" ht="18" customHeight="1">
      <c r="A531" s="3" t="str">
        <f>"21342019072810494395533"</f>
        <v>21342019072810494395533</v>
      </c>
      <c r="B531" s="3" t="s">
        <v>6</v>
      </c>
      <c r="C531" s="3" t="str">
        <f>"吴朝美"</f>
        <v>吴朝美</v>
      </c>
      <c r="D531" s="3" t="str">
        <f aca="true" t="shared" si="9" ref="D531:D594">"女"</f>
        <v>女</v>
      </c>
      <c r="E531" s="3" t="str">
        <f>"1991-11-06"</f>
        <v>1991-11-06</v>
      </c>
    </row>
    <row r="532" spans="1:5" s="4" customFormat="1" ht="18" customHeight="1">
      <c r="A532" s="3" t="str">
        <f>"21342019072810501095534"</f>
        <v>21342019072810501095534</v>
      </c>
      <c r="B532" s="3" t="s">
        <v>6</v>
      </c>
      <c r="C532" s="3" t="str">
        <f>"梁青青"</f>
        <v>梁青青</v>
      </c>
      <c r="D532" s="3" t="str">
        <f t="shared" si="9"/>
        <v>女</v>
      </c>
      <c r="E532" s="3" t="str">
        <f>"1995-11-06"</f>
        <v>1995-11-06</v>
      </c>
    </row>
    <row r="533" spans="1:5" s="4" customFormat="1" ht="18" customHeight="1">
      <c r="A533" s="3" t="str">
        <f>"21342019072811000795539"</f>
        <v>21342019072811000795539</v>
      </c>
      <c r="B533" s="3" t="s">
        <v>6</v>
      </c>
      <c r="C533" s="3" t="str">
        <f>"陈二香"</f>
        <v>陈二香</v>
      </c>
      <c r="D533" s="3" t="str">
        <f t="shared" si="9"/>
        <v>女</v>
      </c>
      <c r="E533" s="3" t="str">
        <f>"1991-05-01"</f>
        <v>1991-05-01</v>
      </c>
    </row>
    <row r="534" spans="1:5" s="4" customFormat="1" ht="18" customHeight="1">
      <c r="A534" s="3" t="str">
        <f>"21342019072811005895540"</f>
        <v>21342019072811005895540</v>
      </c>
      <c r="B534" s="3" t="s">
        <v>6</v>
      </c>
      <c r="C534" s="3" t="str">
        <f>"钟婷婷"</f>
        <v>钟婷婷</v>
      </c>
      <c r="D534" s="3" t="str">
        <f t="shared" si="9"/>
        <v>女</v>
      </c>
      <c r="E534" s="3" t="str">
        <f>"1995-12-07"</f>
        <v>1995-12-07</v>
      </c>
    </row>
    <row r="535" spans="1:5" s="4" customFormat="1" ht="18" customHeight="1">
      <c r="A535" s="3" t="str">
        <f>"21342019072811040095541"</f>
        <v>21342019072811040095541</v>
      </c>
      <c r="B535" s="3" t="s">
        <v>6</v>
      </c>
      <c r="C535" s="3" t="str">
        <f>"钱玉"</f>
        <v>钱玉</v>
      </c>
      <c r="D535" s="3" t="str">
        <f t="shared" si="9"/>
        <v>女</v>
      </c>
      <c r="E535" s="3" t="str">
        <f>"1990-08-17"</f>
        <v>1990-08-17</v>
      </c>
    </row>
    <row r="536" spans="1:5" s="4" customFormat="1" ht="18" customHeight="1">
      <c r="A536" s="3" t="str">
        <f>"21342019072811050695542"</f>
        <v>21342019072811050695542</v>
      </c>
      <c r="B536" s="3" t="s">
        <v>6</v>
      </c>
      <c r="C536" s="3" t="str">
        <f>"谢春"</f>
        <v>谢春</v>
      </c>
      <c r="D536" s="3" t="str">
        <f t="shared" si="9"/>
        <v>女</v>
      </c>
      <c r="E536" s="3" t="str">
        <f>"2000-02-06"</f>
        <v>2000-02-06</v>
      </c>
    </row>
    <row r="537" spans="1:5" s="4" customFormat="1" ht="18" customHeight="1">
      <c r="A537" s="3" t="str">
        <f>"21342019072811070195545"</f>
        <v>21342019072811070195545</v>
      </c>
      <c r="B537" s="3" t="s">
        <v>6</v>
      </c>
      <c r="C537" s="3" t="str">
        <f>"王琼短"</f>
        <v>王琼短</v>
      </c>
      <c r="D537" s="3" t="str">
        <f t="shared" si="9"/>
        <v>女</v>
      </c>
      <c r="E537" s="3" t="str">
        <f>"1995-09-20"</f>
        <v>1995-09-20</v>
      </c>
    </row>
    <row r="538" spans="1:5" s="4" customFormat="1" ht="18" customHeight="1">
      <c r="A538" s="3" t="str">
        <f>"21342019072811233095557"</f>
        <v>21342019072811233095557</v>
      </c>
      <c r="B538" s="3" t="s">
        <v>6</v>
      </c>
      <c r="C538" s="3" t="str">
        <f>"李素燕"</f>
        <v>李素燕</v>
      </c>
      <c r="D538" s="3" t="str">
        <f t="shared" si="9"/>
        <v>女</v>
      </c>
      <c r="E538" s="3" t="str">
        <f>"1992-06-03"</f>
        <v>1992-06-03</v>
      </c>
    </row>
    <row r="539" spans="1:5" s="4" customFormat="1" ht="18" customHeight="1">
      <c r="A539" s="3" t="str">
        <f>"21342019072811272695563"</f>
        <v>21342019072811272695563</v>
      </c>
      <c r="B539" s="3" t="s">
        <v>6</v>
      </c>
      <c r="C539" s="3" t="str">
        <f>"谢晓卿"</f>
        <v>谢晓卿</v>
      </c>
      <c r="D539" s="3" t="str">
        <f t="shared" si="9"/>
        <v>女</v>
      </c>
      <c r="E539" s="3" t="str">
        <f>"1990-01-11"</f>
        <v>1990-01-11</v>
      </c>
    </row>
    <row r="540" spans="1:5" s="4" customFormat="1" ht="18" customHeight="1">
      <c r="A540" s="3" t="str">
        <f>"21342019072811332295568"</f>
        <v>21342019072811332295568</v>
      </c>
      <c r="B540" s="3" t="s">
        <v>6</v>
      </c>
      <c r="C540" s="3" t="str">
        <f>"李婕"</f>
        <v>李婕</v>
      </c>
      <c r="D540" s="3" t="str">
        <f t="shared" si="9"/>
        <v>女</v>
      </c>
      <c r="E540" s="3" t="str">
        <f>"1996-10-01"</f>
        <v>1996-10-01</v>
      </c>
    </row>
    <row r="541" spans="1:5" s="4" customFormat="1" ht="18" customHeight="1">
      <c r="A541" s="3" t="str">
        <f>"21342019072811351695571"</f>
        <v>21342019072811351695571</v>
      </c>
      <c r="B541" s="3" t="s">
        <v>6</v>
      </c>
      <c r="C541" s="3" t="str">
        <f>"周小莹"</f>
        <v>周小莹</v>
      </c>
      <c r="D541" s="3" t="str">
        <f t="shared" si="9"/>
        <v>女</v>
      </c>
      <c r="E541" s="3" t="str">
        <f>"1995-11-08"</f>
        <v>1995-11-08</v>
      </c>
    </row>
    <row r="542" spans="1:5" s="4" customFormat="1" ht="18" customHeight="1">
      <c r="A542" s="3" t="str">
        <f>"21342019072811375795574"</f>
        <v>21342019072811375795574</v>
      </c>
      <c r="B542" s="3" t="s">
        <v>6</v>
      </c>
      <c r="C542" s="3" t="str">
        <f>"王二"</f>
        <v>王二</v>
      </c>
      <c r="D542" s="3" t="str">
        <f t="shared" si="9"/>
        <v>女</v>
      </c>
      <c r="E542" s="3" t="str">
        <f>"1994-12-14"</f>
        <v>1994-12-14</v>
      </c>
    </row>
    <row r="543" spans="1:5" s="4" customFormat="1" ht="18" customHeight="1">
      <c r="A543" s="3" t="str">
        <f>"21342019072811383595577"</f>
        <v>21342019072811383595577</v>
      </c>
      <c r="B543" s="3" t="s">
        <v>6</v>
      </c>
      <c r="C543" s="3" t="str">
        <f>"谭芸香"</f>
        <v>谭芸香</v>
      </c>
      <c r="D543" s="3" t="str">
        <f t="shared" si="9"/>
        <v>女</v>
      </c>
      <c r="E543" s="3" t="str">
        <f>"1993-08-15"</f>
        <v>1993-08-15</v>
      </c>
    </row>
    <row r="544" spans="1:5" s="4" customFormat="1" ht="18" customHeight="1">
      <c r="A544" s="3" t="str">
        <f>"21342019072811392195579"</f>
        <v>21342019072811392195579</v>
      </c>
      <c r="B544" s="3" t="s">
        <v>6</v>
      </c>
      <c r="C544" s="3" t="str">
        <f>"符林霞"</f>
        <v>符林霞</v>
      </c>
      <c r="D544" s="3" t="str">
        <f t="shared" si="9"/>
        <v>女</v>
      </c>
      <c r="E544" s="3" t="str">
        <f>"1995-08-05"</f>
        <v>1995-08-05</v>
      </c>
    </row>
    <row r="545" spans="1:5" s="4" customFormat="1" ht="18" customHeight="1">
      <c r="A545" s="3" t="str">
        <f>"21342019072811575395589"</f>
        <v>21342019072811575395589</v>
      </c>
      <c r="B545" s="3" t="s">
        <v>6</v>
      </c>
      <c r="C545" s="3" t="str">
        <f>"莫秀连"</f>
        <v>莫秀连</v>
      </c>
      <c r="D545" s="3" t="str">
        <f t="shared" si="9"/>
        <v>女</v>
      </c>
      <c r="E545" s="3" t="str">
        <f>"1991-01-14"</f>
        <v>1991-01-14</v>
      </c>
    </row>
    <row r="546" spans="1:5" s="4" customFormat="1" ht="18" customHeight="1">
      <c r="A546" s="3" t="str">
        <f>"21342019072812002295596"</f>
        <v>21342019072812002295596</v>
      </c>
      <c r="B546" s="3" t="s">
        <v>6</v>
      </c>
      <c r="C546" s="3" t="str">
        <f>"符妹珠"</f>
        <v>符妹珠</v>
      </c>
      <c r="D546" s="3" t="str">
        <f t="shared" si="9"/>
        <v>女</v>
      </c>
      <c r="E546" s="3" t="str">
        <f>"1996-11-07"</f>
        <v>1996-11-07</v>
      </c>
    </row>
    <row r="547" spans="1:5" s="4" customFormat="1" ht="18" customHeight="1">
      <c r="A547" s="3" t="str">
        <f>"21342019072812021395601"</f>
        <v>21342019072812021395601</v>
      </c>
      <c r="B547" s="3" t="s">
        <v>6</v>
      </c>
      <c r="C547" s="3" t="str">
        <f>"陈贤娴"</f>
        <v>陈贤娴</v>
      </c>
      <c r="D547" s="3" t="str">
        <f t="shared" si="9"/>
        <v>女</v>
      </c>
      <c r="E547" s="3" t="str">
        <f>"1995-04-08"</f>
        <v>1995-04-08</v>
      </c>
    </row>
    <row r="548" spans="1:5" s="4" customFormat="1" ht="18" customHeight="1">
      <c r="A548" s="3" t="str">
        <f>"21342019072812034995602"</f>
        <v>21342019072812034995602</v>
      </c>
      <c r="B548" s="3" t="s">
        <v>6</v>
      </c>
      <c r="C548" s="3" t="str">
        <f>"陈企宴"</f>
        <v>陈企宴</v>
      </c>
      <c r="D548" s="3" t="str">
        <f t="shared" si="9"/>
        <v>女</v>
      </c>
      <c r="E548" s="3" t="str">
        <f>"1998-08-05"</f>
        <v>1998-08-05</v>
      </c>
    </row>
    <row r="549" spans="1:5" s="4" customFormat="1" ht="18" customHeight="1">
      <c r="A549" s="3" t="str">
        <f>"21342019072812080295606"</f>
        <v>21342019072812080295606</v>
      </c>
      <c r="B549" s="3" t="s">
        <v>6</v>
      </c>
      <c r="C549" s="3" t="str">
        <f>"符换桂"</f>
        <v>符换桂</v>
      </c>
      <c r="D549" s="3" t="str">
        <f t="shared" si="9"/>
        <v>女</v>
      </c>
      <c r="E549" s="3" t="str">
        <f>"1994-02-10"</f>
        <v>1994-02-10</v>
      </c>
    </row>
    <row r="550" spans="1:5" s="4" customFormat="1" ht="18" customHeight="1">
      <c r="A550" s="3" t="str">
        <f>"21342019072812110295609"</f>
        <v>21342019072812110295609</v>
      </c>
      <c r="B550" s="3" t="s">
        <v>6</v>
      </c>
      <c r="C550" s="3" t="str">
        <f>"李慧平"</f>
        <v>李慧平</v>
      </c>
      <c r="D550" s="3" t="str">
        <f t="shared" si="9"/>
        <v>女</v>
      </c>
      <c r="E550" s="3" t="str">
        <f>"1996-06-01"</f>
        <v>1996-06-01</v>
      </c>
    </row>
    <row r="551" spans="1:5" s="4" customFormat="1" ht="18" customHeight="1">
      <c r="A551" s="3" t="str">
        <f>"21342019072812120195612"</f>
        <v>21342019072812120195612</v>
      </c>
      <c r="B551" s="3" t="s">
        <v>6</v>
      </c>
      <c r="C551" s="3" t="str">
        <f>"王大雅"</f>
        <v>王大雅</v>
      </c>
      <c r="D551" s="3" t="str">
        <f t="shared" si="9"/>
        <v>女</v>
      </c>
      <c r="E551" s="3" t="str">
        <f>"1994-04-08"</f>
        <v>1994-04-08</v>
      </c>
    </row>
    <row r="552" spans="1:5" s="4" customFormat="1" ht="18" customHeight="1">
      <c r="A552" s="3" t="str">
        <f>"21342019072812123295614"</f>
        <v>21342019072812123295614</v>
      </c>
      <c r="B552" s="3" t="s">
        <v>6</v>
      </c>
      <c r="C552" s="3" t="str">
        <f>"潘茹"</f>
        <v>潘茹</v>
      </c>
      <c r="D552" s="3" t="str">
        <f t="shared" si="9"/>
        <v>女</v>
      </c>
      <c r="E552" s="3" t="str">
        <f>"1994-04-24"</f>
        <v>1994-04-24</v>
      </c>
    </row>
    <row r="553" spans="1:5" s="4" customFormat="1" ht="18" customHeight="1">
      <c r="A553" s="3" t="str">
        <f>"21342019072812135795615"</f>
        <v>21342019072812135795615</v>
      </c>
      <c r="B553" s="3" t="s">
        <v>6</v>
      </c>
      <c r="C553" s="3" t="str">
        <f>"唐璐"</f>
        <v>唐璐</v>
      </c>
      <c r="D553" s="3" t="str">
        <f t="shared" si="9"/>
        <v>女</v>
      </c>
      <c r="E553" s="3" t="str">
        <f>"1998-05-07"</f>
        <v>1998-05-07</v>
      </c>
    </row>
    <row r="554" spans="1:5" s="4" customFormat="1" ht="18" customHeight="1">
      <c r="A554" s="3" t="str">
        <f>"21342019072812154895616"</f>
        <v>21342019072812154895616</v>
      </c>
      <c r="B554" s="3" t="s">
        <v>6</v>
      </c>
      <c r="C554" s="3" t="str">
        <f>"欧丽丽"</f>
        <v>欧丽丽</v>
      </c>
      <c r="D554" s="3" t="str">
        <f t="shared" si="9"/>
        <v>女</v>
      </c>
      <c r="E554" s="3" t="str">
        <f>"1996-09-14"</f>
        <v>1996-09-14</v>
      </c>
    </row>
    <row r="555" spans="1:5" s="4" customFormat="1" ht="18" customHeight="1">
      <c r="A555" s="3" t="str">
        <f>"21342019072812172195618"</f>
        <v>21342019072812172195618</v>
      </c>
      <c r="B555" s="3" t="s">
        <v>6</v>
      </c>
      <c r="C555" s="3" t="str">
        <f>"王廷丽"</f>
        <v>王廷丽</v>
      </c>
      <c r="D555" s="3" t="str">
        <f t="shared" si="9"/>
        <v>女</v>
      </c>
      <c r="E555" s="3" t="str">
        <f>"1995-01-28"</f>
        <v>1995-01-28</v>
      </c>
    </row>
    <row r="556" spans="1:5" s="4" customFormat="1" ht="18" customHeight="1">
      <c r="A556" s="3" t="str">
        <f>"21342019072812181595619"</f>
        <v>21342019072812181595619</v>
      </c>
      <c r="B556" s="3" t="s">
        <v>6</v>
      </c>
      <c r="C556" s="3" t="str">
        <f>"钟秋玉"</f>
        <v>钟秋玉</v>
      </c>
      <c r="D556" s="3" t="str">
        <f t="shared" si="9"/>
        <v>女</v>
      </c>
      <c r="E556" s="3" t="str">
        <f>"1995-04-10"</f>
        <v>1995-04-10</v>
      </c>
    </row>
    <row r="557" spans="1:5" s="4" customFormat="1" ht="18" customHeight="1">
      <c r="A557" s="3" t="str">
        <f>"21342019072812185295620"</f>
        <v>21342019072812185295620</v>
      </c>
      <c r="B557" s="3" t="s">
        <v>6</v>
      </c>
      <c r="C557" s="3" t="str">
        <f>"陈宝丹"</f>
        <v>陈宝丹</v>
      </c>
      <c r="D557" s="3" t="str">
        <f t="shared" si="9"/>
        <v>女</v>
      </c>
      <c r="E557" s="3" t="str">
        <f>"1990-12-06"</f>
        <v>1990-12-06</v>
      </c>
    </row>
    <row r="558" spans="1:5" s="4" customFormat="1" ht="18" customHeight="1">
      <c r="A558" s="3" t="str">
        <f>"21342019072812202195623"</f>
        <v>21342019072812202195623</v>
      </c>
      <c r="B558" s="3" t="s">
        <v>6</v>
      </c>
      <c r="C558" s="3" t="str">
        <f>"王美玲"</f>
        <v>王美玲</v>
      </c>
      <c r="D558" s="3" t="str">
        <f t="shared" si="9"/>
        <v>女</v>
      </c>
      <c r="E558" s="3" t="str">
        <f>"1993-09-26"</f>
        <v>1993-09-26</v>
      </c>
    </row>
    <row r="559" spans="1:5" s="4" customFormat="1" ht="18" customHeight="1">
      <c r="A559" s="3" t="str">
        <f>"21342019072812204295624"</f>
        <v>21342019072812204295624</v>
      </c>
      <c r="B559" s="3" t="s">
        <v>6</v>
      </c>
      <c r="C559" s="3" t="str">
        <f>"唐爱乾"</f>
        <v>唐爱乾</v>
      </c>
      <c r="D559" s="3" t="str">
        <f t="shared" si="9"/>
        <v>女</v>
      </c>
      <c r="E559" s="3" t="str">
        <f>"1995-06-20"</f>
        <v>1995-06-20</v>
      </c>
    </row>
    <row r="560" spans="1:5" s="4" customFormat="1" ht="18" customHeight="1">
      <c r="A560" s="3" t="str">
        <f>"21342019072812211095625"</f>
        <v>21342019072812211095625</v>
      </c>
      <c r="B560" s="3" t="s">
        <v>6</v>
      </c>
      <c r="C560" s="3" t="str">
        <f>"余陈英"</f>
        <v>余陈英</v>
      </c>
      <c r="D560" s="3" t="str">
        <f t="shared" si="9"/>
        <v>女</v>
      </c>
      <c r="E560" s="3" t="str">
        <f>"1994-03-20"</f>
        <v>1994-03-20</v>
      </c>
    </row>
    <row r="561" spans="1:5" s="4" customFormat="1" ht="18" customHeight="1">
      <c r="A561" s="3" t="str">
        <f>"21342019072812274195630"</f>
        <v>21342019072812274195630</v>
      </c>
      <c r="B561" s="3" t="s">
        <v>6</v>
      </c>
      <c r="C561" s="3" t="str">
        <f>"林不二"</f>
        <v>林不二</v>
      </c>
      <c r="D561" s="3" t="str">
        <f t="shared" si="9"/>
        <v>女</v>
      </c>
      <c r="E561" s="3" t="str">
        <f>"1992-03-08"</f>
        <v>1992-03-08</v>
      </c>
    </row>
    <row r="562" spans="1:5" s="4" customFormat="1" ht="18" customHeight="1">
      <c r="A562" s="3" t="str">
        <f>"21342019072812293395631"</f>
        <v>21342019072812293395631</v>
      </c>
      <c r="B562" s="3" t="s">
        <v>6</v>
      </c>
      <c r="C562" s="3" t="str">
        <f>"李德霞"</f>
        <v>李德霞</v>
      </c>
      <c r="D562" s="3" t="str">
        <f t="shared" si="9"/>
        <v>女</v>
      </c>
      <c r="E562" s="3" t="str">
        <f>"1992-10-05"</f>
        <v>1992-10-05</v>
      </c>
    </row>
    <row r="563" spans="1:5" s="4" customFormat="1" ht="18" customHeight="1">
      <c r="A563" s="3" t="str">
        <f>"21342019072812390295636"</f>
        <v>21342019072812390295636</v>
      </c>
      <c r="B563" s="3" t="s">
        <v>6</v>
      </c>
      <c r="C563" s="3" t="str">
        <f>"吉秀"</f>
        <v>吉秀</v>
      </c>
      <c r="D563" s="3" t="str">
        <f t="shared" si="9"/>
        <v>女</v>
      </c>
      <c r="E563" s="3" t="str">
        <f>"1991-02-16"</f>
        <v>1991-02-16</v>
      </c>
    </row>
    <row r="564" spans="1:5" s="4" customFormat="1" ht="18" customHeight="1">
      <c r="A564" s="3" t="str">
        <f>"21342019072812391395637"</f>
        <v>21342019072812391395637</v>
      </c>
      <c r="B564" s="3" t="s">
        <v>6</v>
      </c>
      <c r="C564" s="3" t="str">
        <f>"苏小棉"</f>
        <v>苏小棉</v>
      </c>
      <c r="D564" s="3" t="str">
        <f t="shared" si="9"/>
        <v>女</v>
      </c>
      <c r="E564" s="3" t="str">
        <f>"1997-11-11"</f>
        <v>1997-11-11</v>
      </c>
    </row>
    <row r="565" spans="1:5" s="4" customFormat="1" ht="18" customHeight="1">
      <c r="A565" s="3" t="str">
        <f>"21342019072812434095641"</f>
        <v>21342019072812434095641</v>
      </c>
      <c r="B565" s="3" t="s">
        <v>6</v>
      </c>
      <c r="C565" s="3" t="str">
        <f>"王少霞"</f>
        <v>王少霞</v>
      </c>
      <c r="D565" s="3" t="str">
        <f t="shared" si="9"/>
        <v>女</v>
      </c>
      <c r="E565" s="3" t="str">
        <f>"1995-09-20"</f>
        <v>1995-09-20</v>
      </c>
    </row>
    <row r="566" spans="1:5" s="4" customFormat="1" ht="18" customHeight="1">
      <c r="A566" s="3" t="str">
        <f>"21342019072812442095643"</f>
        <v>21342019072812442095643</v>
      </c>
      <c r="B566" s="3" t="s">
        <v>6</v>
      </c>
      <c r="C566" s="3" t="str">
        <f>"王梦玲"</f>
        <v>王梦玲</v>
      </c>
      <c r="D566" s="3" t="str">
        <f t="shared" si="9"/>
        <v>女</v>
      </c>
      <c r="E566" s="3" t="str">
        <f>"1995-10-16"</f>
        <v>1995-10-16</v>
      </c>
    </row>
    <row r="567" spans="1:5" s="4" customFormat="1" ht="18" customHeight="1">
      <c r="A567" s="3" t="str">
        <f>"21342019072812511495649"</f>
        <v>21342019072812511495649</v>
      </c>
      <c r="B567" s="3" t="s">
        <v>6</v>
      </c>
      <c r="C567" s="3" t="str">
        <f>"李建丹"</f>
        <v>李建丹</v>
      </c>
      <c r="D567" s="3" t="str">
        <f t="shared" si="9"/>
        <v>女</v>
      </c>
      <c r="E567" s="3" t="str">
        <f>"1995-02-27"</f>
        <v>1995-02-27</v>
      </c>
    </row>
    <row r="568" spans="1:5" s="4" customFormat="1" ht="18" customHeight="1">
      <c r="A568" s="3" t="str">
        <f>"21342019072812514595650"</f>
        <v>21342019072812514595650</v>
      </c>
      <c r="B568" s="3" t="s">
        <v>6</v>
      </c>
      <c r="C568" s="3" t="str">
        <f>"吴桂珠"</f>
        <v>吴桂珠</v>
      </c>
      <c r="D568" s="3" t="str">
        <f t="shared" si="9"/>
        <v>女</v>
      </c>
      <c r="E568" s="3" t="str">
        <f>"1992-02-02"</f>
        <v>1992-02-02</v>
      </c>
    </row>
    <row r="569" spans="1:5" s="4" customFormat="1" ht="18" customHeight="1">
      <c r="A569" s="3" t="str">
        <f>"21342019072812541195652"</f>
        <v>21342019072812541195652</v>
      </c>
      <c r="B569" s="3" t="s">
        <v>6</v>
      </c>
      <c r="C569" s="3" t="str">
        <f>"林小珍"</f>
        <v>林小珍</v>
      </c>
      <c r="D569" s="3" t="str">
        <f t="shared" si="9"/>
        <v>女</v>
      </c>
      <c r="E569" s="3" t="str">
        <f>"1995-10-11"</f>
        <v>1995-10-11</v>
      </c>
    </row>
    <row r="570" spans="1:5" s="4" customFormat="1" ht="18" customHeight="1">
      <c r="A570" s="3" t="str">
        <f>"21342019072812553995658"</f>
        <v>21342019072812553995658</v>
      </c>
      <c r="B570" s="3" t="s">
        <v>6</v>
      </c>
      <c r="C570" s="3" t="str">
        <f>"王燕虹"</f>
        <v>王燕虹</v>
      </c>
      <c r="D570" s="3" t="str">
        <f t="shared" si="9"/>
        <v>女</v>
      </c>
      <c r="E570" s="3" t="str">
        <f>"1991-11-11"</f>
        <v>1991-11-11</v>
      </c>
    </row>
    <row r="571" spans="1:5" s="4" customFormat="1" ht="18" customHeight="1">
      <c r="A571" s="3" t="str">
        <f>"21342019072812565595659"</f>
        <v>21342019072812565595659</v>
      </c>
      <c r="B571" s="3" t="s">
        <v>6</v>
      </c>
      <c r="C571" s="3" t="str">
        <f>"王丁尼"</f>
        <v>王丁尼</v>
      </c>
      <c r="D571" s="3" t="str">
        <f t="shared" si="9"/>
        <v>女</v>
      </c>
      <c r="E571" s="3" t="str">
        <f>"1998-06-19"</f>
        <v>1998-06-19</v>
      </c>
    </row>
    <row r="572" spans="1:5" s="4" customFormat="1" ht="18" customHeight="1">
      <c r="A572" s="3" t="str">
        <f>"21342019072813013395663"</f>
        <v>21342019072813013395663</v>
      </c>
      <c r="B572" s="3" t="s">
        <v>6</v>
      </c>
      <c r="C572" s="3" t="str">
        <f>"羊子花"</f>
        <v>羊子花</v>
      </c>
      <c r="D572" s="3" t="str">
        <f t="shared" si="9"/>
        <v>女</v>
      </c>
      <c r="E572" s="3" t="str">
        <f>"1992-05-10"</f>
        <v>1992-05-10</v>
      </c>
    </row>
    <row r="573" spans="1:5" s="4" customFormat="1" ht="18" customHeight="1">
      <c r="A573" s="3" t="str">
        <f>"21342019072813034695668"</f>
        <v>21342019072813034695668</v>
      </c>
      <c r="B573" s="3" t="s">
        <v>6</v>
      </c>
      <c r="C573" s="3" t="str">
        <f>"吴春菊"</f>
        <v>吴春菊</v>
      </c>
      <c r="D573" s="3" t="str">
        <f t="shared" si="9"/>
        <v>女</v>
      </c>
      <c r="E573" s="3" t="str">
        <f>"1992-04-20"</f>
        <v>1992-04-20</v>
      </c>
    </row>
    <row r="574" spans="1:5" s="4" customFormat="1" ht="18" customHeight="1">
      <c r="A574" s="3" t="str">
        <f>"21342019072813072695672"</f>
        <v>21342019072813072695672</v>
      </c>
      <c r="B574" s="3" t="s">
        <v>6</v>
      </c>
      <c r="C574" s="3" t="str">
        <f>"冯小媚"</f>
        <v>冯小媚</v>
      </c>
      <c r="D574" s="3" t="str">
        <f t="shared" si="9"/>
        <v>女</v>
      </c>
      <c r="E574" s="3" t="str">
        <f>"1991-05-27"</f>
        <v>1991-05-27</v>
      </c>
    </row>
    <row r="575" spans="1:5" s="4" customFormat="1" ht="18" customHeight="1">
      <c r="A575" s="3" t="str">
        <f>"21342019072813083395673"</f>
        <v>21342019072813083395673</v>
      </c>
      <c r="B575" s="3" t="s">
        <v>6</v>
      </c>
      <c r="C575" s="3" t="str">
        <f>"陈玲玲"</f>
        <v>陈玲玲</v>
      </c>
      <c r="D575" s="3" t="str">
        <f t="shared" si="9"/>
        <v>女</v>
      </c>
      <c r="E575" s="3" t="str">
        <f>"1993-08-07"</f>
        <v>1993-08-07</v>
      </c>
    </row>
    <row r="576" spans="1:5" s="4" customFormat="1" ht="18" customHeight="1">
      <c r="A576" s="3" t="str">
        <f>"21342019072813083895674"</f>
        <v>21342019072813083895674</v>
      </c>
      <c r="B576" s="3" t="s">
        <v>6</v>
      </c>
      <c r="C576" s="3" t="str">
        <f>"王燕妮"</f>
        <v>王燕妮</v>
      </c>
      <c r="D576" s="3" t="str">
        <f t="shared" si="9"/>
        <v>女</v>
      </c>
      <c r="E576" s="3" t="str">
        <f>"1996-02-07"</f>
        <v>1996-02-07</v>
      </c>
    </row>
    <row r="577" spans="1:5" s="4" customFormat="1" ht="18" customHeight="1">
      <c r="A577" s="3" t="str">
        <f>"21342019072813104495675"</f>
        <v>21342019072813104495675</v>
      </c>
      <c r="B577" s="3" t="s">
        <v>6</v>
      </c>
      <c r="C577" s="3" t="str">
        <f>"符书梦"</f>
        <v>符书梦</v>
      </c>
      <c r="D577" s="3" t="str">
        <f t="shared" si="9"/>
        <v>女</v>
      </c>
      <c r="E577" s="3" t="str">
        <f>"1997-08-08"</f>
        <v>1997-08-08</v>
      </c>
    </row>
    <row r="578" spans="1:5" s="4" customFormat="1" ht="18" customHeight="1">
      <c r="A578" s="3" t="str">
        <f>"21342019072813104695676"</f>
        <v>21342019072813104695676</v>
      </c>
      <c r="B578" s="3" t="s">
        <v>6</v>
      </c>
      <c r="C578" s="3" t="str">
        <f>"卓金玉"</f>
        <v>卓金玉</v>
      </c>
      <c r="D578" s="3" t="str">
        <f t="shared" si="9"/>
        <v>女</v>
      </c>
      <c r="E578" s="3" t="str">
        <f>"1999-11-28"</f>
        <v>1999-11-28</v>
      </c>
    </row>
    <row r="579" spans="1:5" s="4" customFormat="1" ht="18" customHeight="1">
      <c r="A579" s="3" t="str">
        <f>"21342019072813221295687"</f>
        <v>21342019072813221295687</v>
      </c>
      <c r="B579" s="3" t="s">
        <v>6</v>
      </c>
      <c r="C579" s="3" t="str">
        <f>"陈福映"</f>
        <v>陈福映</v>
      </c>
      <c r="D579" s="3" t="str">
        <f t="shared" si="9"/>
        <v>女</v>
      </c>
      <c r="E579" s="3" t="str">
        <f>"1993-04-11"</f>
        <v>1993-04-11</v>
      </c>
    </row>
    <row r="580" spans="1:5" s="4" customFormat="1" ht="18" customHeight="1">
      <c r="A580" s="3" t="str">
        <f>"21342019072813244795688"</f>
        <v>21342019072813244795688</v>
      </c>
      <c r="B580" s="3" t="s">
        <v>6</v>
      </c>
      <c r="C580" s="3" t="str">
        <f>"黄燕娇"</f>
        <v>黄燕娇</v>
      </c>
      <c r="D580" s="3" t="str">
        <f t="shared" si="9"/>
        <v>女</v>
      </c>
      <c r="E580" s="3" t="str">
        <f>"1989-09-11"</f>
        <v>1989-09-11</v>
      </c>
    </row>
    <row r="581" spans="1:5" s="4" customFormat="1" ht="18" customHeight="1">
      <c r="A581" s="3" t="str">
        <f>"21342019072813245595689"</f>
        <v>21342019072813245595689</v>
      </c>
      <c r="B581" s="3" t="s">
        <v>6</v>
      </c>
      <c r="C581" s="3" t="str">
        <f>"汪园"</f>
        <v>汪园</v>
      </c>
      <c r="D581" s="3" t="str">
        <f t="shared" si="9"/>
        <v>女</v>
      </c>
      <c r="E581" s="3" t="str">
        <f>"1992-01-01"</f>
        <v>1992-01-01</v>
      </c>
    </row>
    <row r="582" spans="1:5" s="4" customFormat="1" ht="18" customHeight="1">
      <c r="A582" s="3" t="str">
        <f>"21342019072813271495691"</f>
        <v>21342019072813271495691</v>
      </c>
      <c r="B582" s="3" t="s">
        <v>6</v>
      </c>
      <c r="C582" s="3" t="str">
        <f>"黄丹"</f>
        <v>黄丹</v>
      </c>
      <c r="D582" s="3" t="str">
        <f t="shared" si="9"/>
        <v>女</v>
      </c>
      <c r="E582" s="3" t="str">
        <f>"1991-10-09"</f>
        <v>1991-10-09</v>
      </c>
    </row>
    <row r="583" spans="1:5" s="4" customFormat="1" ht="18" customHeight="1">
      <c r="A583" s="3" t="str">
        <f>"21342019072813293595693"</f>
        <v>21342019072813293595693</v>
      </c>
      <c r="B583" s="3" t="s">
        <v>6</v>
      </c>
      <c r="C583" s="3" t="str">
        <f>"陈晓珍"</f>
        <v>陈晓珍</v>
      </c>
      <c r="D583" s="3" t="str">
        <f t="shared" si="9"/>
        <v>女</v>
      </c>
      <c r="E583" s="3" t="str">
        <f>"1997-11-04"</f>
        <v>1997-11-04</v>
      </c>
    </row>
    <row r="584" spans="1:5" s="4" customFormat="1" ht="18" customHeight="1">
      <c r="A584" s="3" t="str">
        <f>"21342019072813324195695"</f>
        <v>21342019072813324195695</v>
      </c>
      <c r="B584" s="3" t="s">
        <v>6</v>
      </c>
      <c r="C584" s="3" t="str">
        <f>"陈小娜"</f>
        <v>陈小娜</v>
      </c>
      <c r="D584" s="3" t="str">
        <f t="shared" si="9"/>
        <v>女</v>
      </c>
      <c r="E584" s="3" t="str">
        <f>"1989-10-05"</f>
        <v>1989-10-05</v>
      </c>
    </row>
    <row r="585" spans="1:5" s="4" customFormat="1" ht="18" customHeight="1">
      <c r="A585" s="3" t="str">
        <f>"21342019072813380595698"</f>
        <v>21342019072813380595698</v>
      </c>
      <c r="B585" s="3" t="s">
        <v>6</v>
      </c>
      <c r="C585" s="3" t="str">
        <f>"赵欣欣"</f>
        <v>赵欣欣</v>
      </c>
      <c r="D585" s="3" t="str">
        <f t="shared" si="9"/>
        <v>女</v>
      </c>
      <c r="E585" s="3" t="str">
        <f>"1997-07-17"</f>
        <v>1997-07-17</v>
      </c>
    </row>
    <row r="586" spans="1:5" s="4" customFormat="1" ht="18" customHeight="1">
      <c r="A586" s="3" t="str">
        <f>"21342019072813390495699"</f>
        <v>21342019072813390495699</v>
      </c>
      <c r="B586" s="3" t="s">
        <v>6</v>
      </c>
      <c r="C586" s="3" t="str">
        <f>"陈小香"</f>
        <v>陈小香</v>
      </c>
      <c r="D586" s="3" t="str">
        <f t="shared" si="9"/>
        <v>女</v>
      </c>
      <c r="E586" s="3" t="str">
        <f>"1995-01-13"</f>
        <v>1995-01-13</v>
      </c>
    </row>
    <row r="587" spans="1:5" s="4" customFormat="1" ht="18" customHeight="1">
      <c r="A587" s="3" t="str">
        <f>"21342019072813485495706"</f>
        <v>21342019072813485495706</v>
      </c>
      <c r="B587" s="3" t="s">
        <v>6</v>
      </c>
      <c r="C587" s="3" t="str">
        <f>"韦玉芳"</f>
        <v>韦玉芳</v>
      </c>
      <c r="D587" s="3" t="str">
        <f t="shared" si="9"/>
        <v>女</v>
      </c>
      <c r="E587" s="3" t="str">
        <f>"1990-06-09"</f>
        <v>1990-06-09</v>
      </c>
    </row>
    <row r="588" spans="1:5" s="4" customFormat="1" ht="18" customHeight="1">
      <c r="A588" s="3" t="str">
        <f>"21342019072813494495707"</f>
        <v>21342019072813494495707</v>
      </c>
      <c r="B588" s="3" t="s">
        <v>6</v>
      </c>
      <c r="C588" s="3" t="str">
        <f>"朱金姬"</f>
        <v>朱金姬</v>
      </c>
      <c r="D588" s="3" t="str">
        <f t="shared" si="9"/>
        <v>女</v>
      </c>
      <c r="E588" s="3" t="str">
        <f>"1992-05-22"</f>
        <v>1992-05-22</v>
      </c>
    </row>
    <row r="589" spans="1:5" s="4" customFormat="1" ht="18" customHeight="1">
      <c r="A589" s="3" t="str">
        <f>"21342019072814024895712"</f>
        <v>21342019072814024895712</v>
      </c>
      <c r="B589" s="3" t="s">
        <v>6</v>
      </c>
      <c r="C589" s="3" t="str">
        <f>"钟雪红"</f>
        <v>钟雪红</v>
      </c>
      <c r="D589" s="3" t="str">
        <f t="shared" si="9"/>
        <v>女</v>
      </c>
      <c r="E589" s="3" t="str">
        <f>"1993-08-25"</f>
        <v>1993-08-25</v>
      </c>
    </row>
    <row r="590" spans="1:5" s="4" customFormat="1" ht="18" customHeight="1">
      <c r="A590" s="3" t="str">
        <f>"21342019072814065695717"</f>
        <v>21342019072814065695717</v>
      </c>
      <c r="B590" s="3" t="s">
        <v>6</v>
      </c>
      <c r="C590" s="3" t="str">
        <f>"钟玲华"</f>
        <v>钟玲华</v>
      </c>
      <c r="D590" s="3" t="str">
        <f t="shared" si="9"/>
        <v>女</v>
      </c>
      <c r="E590" s="3" t="str">
        <f>"1992-01-30"</f>
        <v>1992-01-30</v>
      </c>
    </row>
    <row r="591" spans="1:5" s="4" customFormat="1" ht="18" customHeight="1">
      <c r="A591" s="3" t="str">
        <f>"21342019072814104495722"</f>
        <v>21342019072814104495722</v>
      </c>
      <c r="B591" s="3" t="s">
        <v>6</v>
      </c>
      <c r="C591" s="3" t="str">
        <f>"邢妹"</f>
        <v>邢妹</v>
      </c>
      <c r="D591" s="3" t="str">
        <f t="shared" si="9"/>
        <v>女</v>
      </c>
      <c r="E591" s="3" t="str">
        <f>"1995-05-02"</f>
        <v>1995-05-02</v>
      </c>
    </row>
    <row r="592" spans="1:5" s="4" customFormat="1" ht="18" customHeight="1">
      <c r="A592" s="3" t="str">
        <f>"21342019072814124295725"</f>
        <v>21342019072814124295725</v>
      </c>
      <c r="B592" s="3" t="s">
        <v>6</v>
      </c>
      <c r="C592" s="3" t="str">
        <f>"杨颖"</f>
        <v>杨颖</v>
      </c>
      <c r="D592" s="3" t="str">
        <f t="shared" si="9"/>
        <v>女</v>
      </c>
      <c r="E592" s="3" t="str">
        <f>"1994-09-24"</f>
        <v>1994-09-24</v>
      </c>
    </row>
    <row r="593" spans="1:5" s="4" customFormat="1" ht="18" customHeight="1">
      <c r="A593" s="3" t="str">
        <f>"21342019072814131195726"</f>
        <v>21342019072814131195726</v>
      </c>
      <c r="B593" s="3" t="s">
        <v>6</v>
      </c>
      <c r="C593" s="3" t="str">
        <f>"代美妹"</f>
        <v>代美妹</v>
      </c>
      <c r="D593" s="3" t="str">
        <f t="shared" si="9"/>
        <v>女</v>
      </c>
      <c r="E593" s="3" t="str">
        <f>"1993-10-05"</f>
        <v>1993-10-05</v>
      </c>
    </row>
    <row r="594" spans="1:5" s="4" customFormat="1" ht="18" customHeight="1">
      <c r="A594" s="3" t="str">
        <f>"21342019072814153495729"</f>
        <v>21342019072814153495729</v>
      </c>
      <c r="B594" s="3" t="s">
        <v>6</v>
      </c>
      <c r="C594" s="3" t="str">
        <f>"王小妹"</f>
        <v>王小妹</v>
      </c>
      <c r="D594" s="3" t="str">
        <f t="shared" si="9"/>
        <v>女</v>
      </c>
      <c r="E594" s="3" t="str">
        <f>"1991-04-10"</f>
        <v>1991-04-10</v>
      </c>
    </row>
    <row r="595" spans="1:5" s="4" customFormat="1" ht="18" customHeight="1">
      <c r="A595" s="3" t="str">
        <f>"21342019072814165095731"</f>
        <v>21342019072814165095731</v>
      </c>
      <c r="B595" s="3" t="s">
        <v>6</v>
      </c>
      <c r="C595" s="3" t="str">
        <f>"林小夏"</f>
        <v>林小夏</v>
      </c>
      <c r="D595" s="3" t="str">
        <f aca="true" t="shared" si="10" ref="D595:D658">"女"</f>
        <v>女</v>
      </c>
      <c r="E595" s="3" t="str">
        <f>"1994-07-27"</f>
        <v>1994-07-27</v>
      </c>
    </row>
    <row r="596" spans="1:5" s="4" customFormat="1" ht="18" customHeight="1">
      <c r="A596" s="3" t="str">
        <f>"21342019072814291795738"</f>
        <v>21342019072814291795738</v>
      </c>
      <c r="B596" s="3" t="s">
        <v>6</v>
      </c>
      <c r="C596" s="3" t="str">
        <f>"董凤之"</f>
        <v>董凤之</v>
      </c>
      <c r="D596" s="3" t="str">
        <f t="shared" si="10"/>
        <v>女</v>
      </c>
      <c r="E596" s="3" t="str">
        <f>"1989-09-11"</f>
        <v>1989-09-11</v>
      </c>
    </row>
    <row r="597" spans="1:5" s="4" customFormat="1" ht="18" customHeight="1">
      <c r="A597" s="3" t="str">
        <f>"21342019072814513195750"</f>
        <v>21342019072814513195750</v>
      </c>
      <c r="B597" s="3" t="s">
        <v>6</v>
      </c>
      <c r="C597" s="3" t="str">
        <f>"麦海贞"</f>
        <v>麦海贞</v>
      </c>
      <c r="D597" s="3" t="str">
        <f t="shared" si="10"/>
        <v>女</v>
      </c>
      <c r="E597" s="3" t="str">
        <f>"1996-10-10"</f>
        <v>1996-10-10</v>
      </c>
    </row>
    <row r="598" spans="1:5" s="4" customFormat="1" ht="18" customHeight="1">
      <c r="A598" s="3" t="str">
        <f>"21342019072814525295751"</f>
        <v>21342019072814525295751</v>
      </c>
      <c r="B598" s="3" t="s">
        <v>6</v>
      </c>
      <c r="C598" s="3" t="str">
        <f>"刘江儒"</f>
        <v>刘江儒</v>
      </c>
      <c r="D598" s="3" t="str">
        <f t="shared" si="10"/>
        <v>女</v>
      </c>
      <c r="E598" s="3" t="str">
        <f>"1996-03-05"</f>
        <v>1996-03-05</v>
      </c>
    </row>
    <row r="599" spans="1:5" s="4" customFormat="1" ht="18" customHeight="1">
      <c r="A599" s="3" t="str">
        <f>"21342019072814570395753"</f>
        <v>21342019072814570395753</v>
      </c>
      <c r="B599" s="3" t="s">
        <v>6</v>
      </c>
      <c r="C599" s="3" t="str">
        <f>"黄金玲"</f>
        <v>黄金玲</v>
      </c>
      <c r="D599" s="3" t="str">
        <f t="shared" si="10"/>
        <v>女</v>
      </c>
      <c r="E599" s="3" t="str">
        <f>"1991-04-01"</f>
        <v>1991-04-01</v>
      </c>
    </row>
    <row r="600" spans="1:5" s="4" customFormat="1" ht="18" customHeight="1">
      <c r="A600" s="3" t="str">
        <f>"21342019072814583395756"</f>
        <v>21342019072814583395756</v>
      </c>
      <c r="B600" s="3" t="s">
        <v>6</v>
      </c>
      <c r="C600" s="3" t="str">
        <f>"李秋幸"</f>
        <v>李秋幸</v>
      </c>
      <c r="D600" s="3" t="str">
        <f t="shared" si="10"/>
        <v>女</v>
      </c>
      <c r="E600" s="3" t="str">
        <f>"1995-05-17"</f>
        <v>1995-05-17</v>
      </c>
    </row>
    <row r="601" spans="1:5" s="4" customFormat="1" ht="18" customHeight="1">
      <c r="A601" s="3" t="str">
        <f>"21342019072815070395762"</f>
        <v>21342019072815070395762</v>
      </c>
      <c r="B601" s="3" t="s">
        <v>6</v>
      </c>
      <c r="C601" s="3" t="str">
        <f>"何倩"</f>
        <v>何倩</v>
      </c>
      <c r="D601" s="3" t="str">
        <f t="shared" si="10"/>
        <v>女</v>
      </c>
      <c r="E601" s="3" t="str">
        <f>"1997-11-14"</f>
        <v>1997-11-14</v>
      </c>
    </row>
    <row r="602" spans="1:5" s="4" customFormat="1" ht="18" customHeight="1">
      <c r="A602" s="3" t="str">
        <f>"21342019072815190095770"</f>
        <v>21342019072815190095770</v>
      </c>
      <c r="B602" s="3" t="s">
        <v>6</v>
      </c>
      <c r="C602" s="3" t="str">
        <f>"马雪丝"</f>
        <v>马雪丝</v>
      </c>
      <c r="D602" s="3" t="str">
        <f t="shared" si="10"/>
        <v>女</v>
      </c>
      <c r="E602" s="3" t="str">
        <f>"1998-06-28"</f>
        <v>1998-06-28</v>
      </c>
    </row>
    <row r="603" spans="1:5" s="4" customFormat="1" ht="18" customHeight="1">
      <c r="A603" s="3" t="str">
        <f>"21342019072815480895791"</f>
        <v>21342019072815480895791</v>
      </c>
      <c r="B603" s="3" t="s">
        <v>6</v>
      </c>
      <c r="C603" s="3" t="str">
        <f>"陈金易"</f>
        <v>陈金易</v>
      </c>
      <c r="D603" s="3" t="str">
        <f t="shared" si="10"/>
        <v>女</v>
      </c>
      <c r="E603" s="3" t="str">
        <f>"1996-06-04"</f>
        <v>1996-06-04</v>
      </c>
    </row>
    <row r="604" spans="1:5" s="4" customFormat="1" ht="18" customHeight="1">
      <c r="A604" s="3" t="str">
        <f>"21342019072815500395795"</f>
        <v>21342019072815500395795</v>
      </c>
      <c r="B604" s="3" t="s">
        <v>6</v>
      </c>
      <c r="C604" s="3" t="str">
        <f>"吴宾"</f>
        <v>吴宾</v>
      </c>
      <c r="D604" s="3" t="str">
        <f t="shared" si="10"/>
        <v>女</v>
      </c>
      <c r="E604" s="3" t="str">
        <f>"1991-03-02"</f>
        <v>1991-03-02</v>
      </c>
    </row>
    <row r="605" spans="1:5" s="4" customFormat="1" ht="18" customHeight="1">
      <c r="A605" s="3" t="str">
        <f>"21342019072815503395797"</f>
        <v>21342019072815503395797</v>
      </c>
      <c r="B605" s="3" t="s">
        <v>6</v>
      </c>
      <c r="C605" s="3" t="str">
        <f>"张海霞"</f>
        <v>张海霞</v>
      </c>
      <c r="D605" s="3" t="str">
        <f t="shared" si="10"/>
        <v>女</v>
      </c>
      <c r="E605" s="3" t="str">
        <f>"1992-06-02"</f>
        <v>1992-06-02</v>
      </c>
    </row>
    <row r="606" spans="1:5" s="4" customFormat="1" ht="18" customHeight="1">
      <c r="A606" s="3" t="str">
        <f>"21342019072816030695806"</f>
        <v>21342019072816030695806</v>
      </c>
      <c r="B606" s="3" t="s">
        <v>6</v>
      </c>
      <c r="C606" s="3" t="str">
        <f>"邱慧虹"</f>
        <v>邱慧虹</v>
      </c>
      <c r="D606" s="3" t="str">
        <f t="shared" si="10"/>
        <v>女</v>
      </c>
      <c r="E606" s="3" t="str">
        <f>"1995-12-26"</f>
        <v>1995-12-26</v>
      </c>
    </row>
    <row r="607" spans="1:5" s="4" customFormat="1" ht="18" customHeight="1">
      <c r="A607" s="3" t="str">
        <f>"21342019072816032995807"</f>
        <v>21342019072816032995807</v>
      </c>
      <c r="B607" s="3" t="s">
        <v>6</v>
      </c>
      <c r="C607" s="3" t="str">
        <f>"刘少丹"</f>
        <v>刘少丹</v>
      </c>
      <c r="D607" s="3" t="str">
        <f t="shared" si="10"/>
        <v>女</v>
      </c>
      <c r="E607" s="3" t="str">
        <f>"1990-12-16"</f>
        <v>1990-12-16</v>
      </c>
    </row>
    <row r="608" spans="1:5" s="4" customFormat="1" ht="18" customHeight="1">
      <c r="A608" s="3" t="str">
        <f>"21342019072816075995810"</f>
        <v>21342019072816075995810</v>
      </c>
      <c r="B608" s="3" t="s">
        <v>6</v>
      </c>
      <c r="C608" s="3" t="str">
        <f>"文婉虹"</f>
        <v>文婉虹</v>
      </c>
      <c r="D608" s="3" t="str">
        <f t="shared" si="10"/>
        <v>女</v>
      </c>
      <c r="E608" s="3" t="str">
        <f>"1996-05-20"</f>
        <v>1996-05-20</v>
      </c>
    </row>
    <row r="609" spans="1:5" s="4" customFormat="1" ht="18" customHeight="1">
      <c r="A609" s="3" t="str">
        <f>"21342019072816075995811"</f>
        <v>21342019072816075995811</v>
      </c>
      <c r="B609" s="3" t="s">
        <v>6</v>
      </c>
      <c r="C609" s="3" t="str">
        <f>"董悦萍"</f>
        <v>董悦萍</v>
      </c>
      <c r="D609" s="3" t="str">
        <f t="shared" si="10"/>
        <v>女</v>
      </c>
      <c r="E609" s="3" t="str">
        <f>"1994-01-29"</f>
        <v>1994-01-29</v>
      </c>
    </row>
    <row r="610" spans="1:5" s="4" customFormat="1" ht="18" customHeight="1">
      <c r="A610" s="3" t="str">
        <f>"21342019072816131295813"</f>
        <v>21342019072816131295813</v>
      </c>
      <c r="B610" s="3" t="s">
        <v>6</v>
      </c>
      <c r="C610" s="3" t="str">
        <f>"符昌熙"</f>
        <v>符昌熙</v>
      </c>
      <c r="D610" s="3" t="str">
        <f t="shared" si="10"/>
        <v>女</v>
      </c>
      <c r="E610" s="3" t="str">
        <f>"1995-12-05"</f>
        <v>1995-12-05</v>
      </c>
    </row>
    <row r="611" spans="1:5" s="4" customFormat="1" ht="18" customHeight="1">
      <c r="A611" s="3" t="str">
        <f>"21342019072816144695815"</f>
        <v>21342019072816144695815</v>
      </c>
      <c r="B611" s="3" t="s">
        <v>6</v>
      </c>
      <c r="C611" s="3" t="str">
        <f>"林洁"</f>
        <v>林洁</v>
      </c>
      <c r="D611" s="3" t="str">
        <f t="shared" si="10"/>
        <v>女</v>
      </c>
      <c r="E611" s="3" t="str">
        <f>"1995-01-05"</f>
        <v>1995-01-05</v>
      </c>
    </row>
    <row r="612" spans="1:5" s="4" customFormat="1" ht="18" customHeight="1">
      <c r="A612" s="3" t="str">
        <f>"21342019072816160695817"</f>
        <v>21342019072816160695817</v>
      </c>
      <c r="B612" s="3" t="s">
        <v>6</v>
      </c>
      <c r="C612" s="3" t="str">
        <f>"陈厚香"</f>
        <v>陈厚香</v>
      </c>
      <c r="D612" s="3" t="str">
        <f t="shared" si="10"/>
        <v>女</v>
      </c>
      <c r="E612" s="3" t="str">
        <f>"1992-11-17"</f>
        <v>1992-11-17</v>
      </c>
    </row>
    <row r="613" spans="1:5" s="4" customFormat="1" ht="18" customHeight="1">
      <c r="A613" s="3" t="str">
        <f>"21342019072816190995821"</f>
        <v>21342019072816190995821</v>
      </c>
      <c r="B613" s="3" t="s">
        <v>6</v>
      </c>
      <c r="C613" s="3" t="str">
        <f>"王娜"</f>
        <v>王娜</v>
      </c>
      <c r="D613" s="3" t="str">
        <f t="shared" si="10"/>
        <v>女</v>
      </c>
      <c r="E613" s="3" t="str">
        <f>"1994-02-27"</f>
        <v>1994-02-27</v>
      </c>
    </row>
    <row r="614" spans="1:5" s="4" customFormat="1" ht="18" customHeight="1">
      <c r="A614" s="3" t="str">
        <f>"21342019072816265195826"</f>
        <v>21342019072816265195826</v>
      </c>
      <c r="B614" s="3" t="s">
        <v>6</v>
      </c>
      <c r="C614" s="3" t="str">
        <f>"符静阳"</f>
        <v>符静阳</v>
      </c>
      <c r="D614" s="3" t="str">
        <f t="shared" si="10"/>
        <v>女</v>
      </c>
      <c r="E614" s="3" t="str">
        <f>"1998-02-03"</f>
        <v>1998-02-03</v>
      </c>
    </row>
    <row r="615" spans="1:5" s="4" customFormat="1" ht="18" customHeight="1">
      <c r="A615" s="3" t="str">
        <f>"21342019072816273595827"</f>
        <v>21342019072816273595827</v>
      </c>
      <c r="B615" s="3" t="s">
        <v>6</v>
      </c>
      <c r="C615" s="3" t="str">
        <f>"吉丽菊"</f>
        <v>吉丽菊</v>
      </c>
      <c r="D615" s="3" t="str">
        <f t="shared" si="10"/>
        <v>女</v>
      </c>
      <c r="E615" s="3" t="str">
        <f>"1997-01-08"</f>
        <v>1997-01-08</v>
      </c>
    </row>
    <row r="616" spans="1:5" s="4" customFormat="1" ht="18" customHeight="1">
      <c r="A616" s="3" t="str">
        <f>"21342019072816302695831"</f>
        <v>21342019072816302695831</v>
      </c>
      <c r="B616" s="3" t="s">
        <v>6</v>
      </c>
      <c r="C616" s="3" t="str">
        <f>"王浦东"</f>
        <v>王浦东</v>
      </c>
      <c r="D616" s="3" t="str">
        <f t="shared" si="10"/>
        <v>女</v>
      </c>
      <c r="E616" s="3" t="str">
        <f>"1998-11-25"</f>
        <v>1998-11-25</v>
      </c>
    </row>
    <row r="617" spans="1:5" s="4" customFormat="1" ht="18" customHeight="1">
      <c r="A617" s="3" t="str">
        <f>"21342019072816303095832"</f>
        <v>21342019072816303095832</v>
      </c>
      <c r="B617" s="3" t="s">
        <v>6</v>
      </c>
      <c r="C617" s="3" t="str">
        <f>"王林巧"</f>
        <v>王林巧</v>
      </c>
      <c r="D617" s="3" t="str">
        <f t="shared" si="10"/>
        <v>女</v>
      </c>
      <c r="E617" s="3" t="str">
        <f>"1998-06-24"</f>
        <v>1998-06-24</v>
      </c>
    </row>
    <row r="618" spans="1:5" s="4" customFormat="1" ht="18" customHeight="1">
      <c r="A618" s="3" t="str">
        <f>"21342019072816325795836"</f>
        <v>21342019072816325795836</v>
      </c>
      <c r="B618" s="3" t="s">
        <v>6</v>
      </c>
      <c r="C618" s="3" t="str">
        <f>"王剑俐"</f>
        <v>王剑俐</v>
      </c>
      <c r="D618" s="3" t="str">
        <f t="shared" si="10"/>
        <v>女</v>
      </c>
      <c r="E618" s="3" t="str">
        <f>"1992-08-25"</f>
        <v>1992-08-25</v>
      </c>
    </row>
    <row r="619" spans="1:5" s="4" customFormat="1" ht="18" customHeight="1">
      <c r="A619" s="3" t="str">
        <f>"21342019072816344895839"</f>
        <v>21342019072816344895839</v>
      </c>
      <c r="B619" s="3" t="s">
        <v>6</v>
      </c>
      <c r="C619" s="3" t="str">
        <f>"孙玉池"</f>
        <v>孙玉池</v>
      </c>
      <c r="D619" s="3" t="str">
        <f t="shared" si="10"/>
        <v>女</v>
      </c>
      <c r="E619" s="3" t="str">
        <f>"1993-02-22"</f>
        <v>1993-02-22</v>
      </c>
    </row>
    <row r="620" spans="1:5" s="4" customFormat="1" ht="18" customHeight="1">
      <c r="A620" s="3" t="str">
        <f>"21342019072816391695842"</f>
        <v>21342019072816391695842</v>
      </c>
      <c r="B620" s="3" t="s">
        <v>6</v>
      </c>
      <c r="C620" s="3" t="str">
        <f>"王小霞"</f>
        <v>王小霞</v>
      </c>
      <c r="D620" s="3" t="str">
        <f t="shared" si="10"/>
        <v>女</v>
      </c>
      <c r="E620" s="3" t="str">
        <f>"1994-11-16"</f>
        <v>1994-11-16</v>
      </c>
    </row>
    <row r="621" spans="1:5" s="4" customFormat="1" ht="18" customHeight="1">
      <c r="A621" s="3" t="str">
        <f>"21342019072816504695851"</f>
        <v>21342019072816504695851</v>
      </c>
      <c r="B621" s="3" t="s">
        <v>6</v>
      </c>
      <c r="C621" s="3" t="str">
        <f>"谭港台"</f>
        <v>谭港台</v>
      </c>
      <c r="D621" s="3" t="str">
        <f t="shared" si="10"/>
        <v>女</v>
      </c>
      <c r="E621" s="3" t="str">
        <f>"1997-12-26"</f>
        <v>1997-12-26</v>
      </c>
    </row>
    <row r="622" spans="1:5" s="4" customFormat="1" ht="18" customHeight="1">
      <c r="A622" s="3" t="str">
        <f>"21342019072816505295852"</f>
        <v>21342019072816505295852</v>
      </c>
      <c r="B622" s="3" t="s">
        <v>6</v>
      </c>
      <c r="C622" s="3" t="str">
        <f>"王兰清"</f>
        <v>王兰清</v>
      </c>
      <c r="D622" s="3" t="str">
        <f t="shared" si="10"/>
        <v>女</v>
      </c>
      <c r="E622" s="3" t="str">
        <f>"1995-12-12"</f>
        <v>1995-12-12</v>
      </c>
    </row>
    <row r="623" spans="1:5" s="4" customFormat="1" ht="18" customHeight="1">
      <c r="A623" s="3" t="str">
        <f>"21342019072817051995859"</f>
        <v>21342019072817051995859</v>
      </c>
      <c r="B623" s="3" t="s">
        <v>6</v>
      </c>
      <c r="C623" s="3" t="str">
        <f>"符秀云"</f>
        <v>符秀云</v>
      </c>
      <c r="D623" s="3" t="str">
        <f t="shared" si="10"/>
        <v>女</v>
      </c>
      <c r="E623" s="3" t="str">
        <f>"1991-11-20"</f>
        <v>1991-11-20</v>
      </c>
    </row>
    <row r="624" spans="1:5" s="4" customFormat="1" ht="18" customHeight="1">
      <c r="A624" s="3" t="str">
        <f>"21342019072817063295861"</f>
        <v>21342019072817063295861</v>
      </c>
      <c r="B624" s="3" t="s">
        <v>6</v>
      </c>
      <c r="C624" s="3" t="str">
        <f>"孙小雅"</f>
        <v>孙小雅</v>
      </c>
      <c r="D624" s="3" t="str">
        <f t="shared" si="10"/>
        <v>女</v>
      </c>
      <c r="E624" s="3" t="str">
        <f>"1996-05-17"</f>
        <v>1996-05-17</v>
      </c>
    </row>
    <row r="625" spans="1:5" s="4" customFormat="1" ht="18" customHeight="1">
      <c r="A625" s="3" t="str">
        <f>"21342019072817074495863"</f>
        <v>21342019072817074495863</v>
      </c>
      <c r="B625" s="3" t="s">
        <v>6</v>
      </c>
      <c r="C625" s="3" t="str">
        <f>"梁怡洁"</f>
        <v>梁怡洁</v>
      </c>
      <c r="D625" s="3" t="str">
        <f t="shared" si="10"/>
        <v>女</v>
      </c>
      <c r="E625" s="3" t="str">
        <f>"1996-04-18"</f>
        <v>1996-04-18</v>
      </c>
    </row>
    <row r="626" spans="1:5" s="4" customFormat="1" ht="18" customHeight="1">
      <c r="A626" s="3" t="str">
        <f>"21342019072817151695865"</f>
        <v>21342019072817151695865</v>
      </c>
      <c r="B626" s="3" t="s">
        <v>6</v>
      </c>
      <c r="C626" s="3" t="str">
        <f>"孙静"</f>
        <v>孙静</v>
      </c>
      <c r="D626" s="3" t="str">
        <f t="shared" si="10"/>
        <v>女</v>
      </c>
      <c r="E626" s="3" t="str">
        <f>"1992-04-16"</f>
        <v>1992-04-16</v>
      </c>
    </row>
    <row r="627" spans="1:5" s="4" customFormat="1" ht="18" customHeight="1">
      <c r="A627" s="3" t="str">
        <f>"21342019072817195895871"</f>
        <v>21342019072817195895871</v>
      </c>
      <c r="B627" s="3" t="s">
        <v>6</v>
      </c>
      <c r="C627" s="3" t="str">
        <f>"符彩燕"</f>
        <v>符彩燕</v>
      </c>
      <c r="D627" s="3" t="str">
        <f t="shared" si="10"/>
        <v>女</v>
      </c>
      <c r="E627" s="3" t="str">
        <f>"1994-06-06"</f>
        <v>1994-06-06</v>
      </c>
    </row>
    <row r="628" spans="1:5" s="4" customFormat="1" ht="18" customHeight="1">
      <c r="A628" s="3" t="str">
        <f>"21342019072817210095872"</f>
        <v>21342019072817210095872</v>
      </c>
      <c r="B628" s="3" t="s">
        <v>6</v>
      </c>
      <c r="C628" s="3" t="str">
        <f>"陈雪"</f>
        <v>陈雪</v>
      </c>
      <c r="D628" s="3" t="str">
        <f t="shared" si="10"/>
        <v>女</v>
      </c>
      <c r="E628" s="3" t="str">
        <f>"1993-06-27"</f>
        <v>1993-06-27</v>
      </c>
    </row>
    <row r="629" spans="1:5" s="4" customFormat="1" ht="18" customHeight="1">
      <c r="A629" s="3" t="str">
        <f>"21342019072817222795874"</f>
        <v>21342019072817222795874</v>
      </c>
      <c r="B629" s="3" t="s">
        <v>6</v>
      </c>
      <c r="C629" s="3" t="str">
        <f>"王慧颖"</f>
        <v>王慧颖</v>
      </c>
      <c r="D629" s="3" t="str">
        <f t="shared" si="10"/>
        <v>女</v>
      </c>
      <c r="E629" s="3" t="str">
        <f>"1994-06-06"</f>
        <v>1994-06-06</v>
      </c>
    </row>
    <row r="630" spans="1:5" s="4" customFormat="1" ht="18" customHeight="1">
      <c r="A630" s="3" t="str">
        <f>"21342019072817223395875"</f>
        <v>21342019072817223395875</v>
      </c>
      <c r="B630" s="3" t="s">
        <v>6</v>
      </c>
      <c r="C630" s="3" t="str">
        <f>"冯琼燕"</f>
        <v>冯琼燕</v>
      </c>
      <c r="D630" s="3" t="str">
        <f t="shared" si="10"/>
        <v>女</v>
      </c>
      <c r="E630" s="3" t="str">
        <f>"1995-10-22"</f>
        <v>1995-10-22</v>
      </c>
    </row>
    <row r="631" spans="1:5" s="4" customFormat="1" ht="18" customHeight="1">
      <c r="A631" s="3" t="str">
        <f>"21342019072817243395877"</f>
        <v>21342019072817243395877</v>
      </c>
      <c r="B631" s="3" t="s">
        <v>6</v>
      </c>
      <c r="C631" s="3" t="str">
        <f>"王艳霞"</f>
        <v>王艳霞</v>
      </c>
      <c r="D631" s="3" t="str">
        <f t="shared" si="10"/>
        <v>女</v>
      </c>
      <c r="E631" s="3" t="str">
        <f>"1991-01-11"</f>
        <v>1991-01-11</v>
      </c>
    </row>
    <row r="632" spans="1:5" s="4" customFormat="1" ht="18" customHeight="1">
      <c r="A632" s="3" t="str">
        <f>"21342019072817270295879"</f>
        <v>21342019072817270295879</v>
      </c>
      <c r="B632" s="3" t="s">
        <v>6</v>
      </c>
      <c r="C632" s="3" t="str">
        <f>"高秀丹"</f>
        <v>高秀丹</v>
      </c>
      <c r="D632" s="3" t="str">
        <f t="shared" si="10"/>
        <v>女</v>
      </c>
      <c r="E632" s="3" t="str">
        <f>"1991-08-16"</f>
        <v>1991-08-16</v>
      </c>
    </row>
    <row r="633" spans="1:5" s="4" customFormat="1" ht="18" customHeight="1">
      <c r="A633" s="3" t="str">
        <f>"21342019072817273795880"</f>
        <v>21342019072817273795880</v>
      </c>
      <c r="B633" s="3" t="s">
        <v>6</v>
      </c>
      <c r="C633" s="3" t="str">
        <f>"曾晓鲜"</f>
        <v>曾晓鲜</v>
      </c>
      <c r="D633" s="3" t="str">
        <f t="shared" si="10"/>
        <v>女</v>
      </c>
      <c r="E633" s="3" t="str">
        <f>"1991-08-05"</f>
        <v>1991-08-05</v>
      </c>
    </row>
    <row r="634" spans="1:5" s="4" customFormat="1" ht="18" customHeight="1">
      <c r="A634" s="3" t="str">
        <f>"21342019072817335295885"</f>
        <v>21342019072817335295885</v>
      </c>
      <c r="B634" s="3" t="s">
        <v>6</v>
      </c>
      <c r="C634" s="3" t="str">
        <f>"柯珊珊"</f>
        <v>柯珊珊</v>
      </c>
      <c r="D634" s="3" t="str">
        <f t="shared" si="10"/>
        <v>女</v>
      </c>
      <c r="E634" s="3" t="str">
        <f>"1994-11-23"</f>
        <v>1994-11-23</v>
      </c>
    </row>
    <row r="635" spans="1:5" s="4" customFormat="1" ht="18" customHeight="1">
      <c r="A635" s="3" t="str">
        <f>"21342019072817445895893"</f>
        <v>21342019072817445895893</v>
      </c>
      <c r="B635" s="3" t="s">
        <v>6</v>
      </c>
      <c r="C635" s="3" t="str">
        <f>"薛玉柳"</f>
        <v>薛玉柳</v>
      </c>
      <c r="D635" s="3" t="str">
        <f t="shared" si="10"/>
        <v>女</v>
      </c>
      <c r="E635" s="3" t="str">
        <f>"1993-09-10"</f>
        <v>1993-09-10</v>
      </c>
    </row>
    <row r="636" spans="1:5" s="4" customFormat="1" ht="18" customHeight="1">
      <c r="A636" s="3" t="str">
        <f>"21342019072817464095895"</f>
        <v>21342019072817464095895</v>
      </c>
      <c r="B636" s="3" t="s">
        <v>6</v>
      </c>
      <c r="C636" s="3" t="str">
        <f>"曾芳芳"</f>
        <v>曾芳芳</v>
      </c>
      <c r="D636" s="3" t="str">
        <f t="shared" si="10"/>
        <v>女</v>
      </c>
      <c r="E636" s="3" t="str">
        <f>"1991-01-16"</f>
        <v>1991-01-16</v>
      </c>
    </row>
    <row r="637" spans="1:5" s="4" customFormat="1" ht="18" customHeight="1">
      <c r="A637" s="3" t="str">
        <f>"21342019072817474595896"</f>
        <v>21342019072817474595896</v>
      </c>
      <c r="B637" s="3" t="s">
        <v>6</v>
      </c>
      <c r="C637" s="3" t="str">
        <f>"钟艳萍"</f>
        <v>钟艳萍</v>
      </c>
      <c r="D637" s="3" t="str">
        <f t="shared" si="10"/>
        <v>女</v>
      </c>
      <c r="E637" s="3" t="str">
        <f>"1997-09-06"</f>
        <v>1997-09-06</v>
      </c>
    </row>
    <row r="638" spans="1:5" s="4" customFormat="1" ht="18" customHeight="1">
      <c r="A638" s="3" t="str">
        <f>"21342019072817482295897"</f>
        <v>21342019072817482295897</v>
      </c>
      <c r="B638" s="3" t="s">
        <v>6</v>
      </c>
      <c r="C638" s="3" t="str">
        <f>"柏平红"</f>
        <v>柏平红</v>
      </c>
      <c r="D638" s="3" t="str">
        <f t="shared" si="10"/>
        <v>女</v>
      </c>
      <c r="E638" s="3" t="str">
        <f>"1996-10-01"</f>
        <v>1996-10-01</v>
      </c>
    </row>
    <row r="639" spans="1:5" s="4" customFormat="1" ht="18" customHeight="1">
      <c r="A639" s="3" t="str">
        <f>"21342019072817502495898"</f>
        <v>21342019072817502495898</v>
      </c>
      <c r="B639" s="3" t="s">
        <v>6</v>
      </c>
      <c r="C639" s="3" t="str">
        <f>"方芸晶"</f>
        <v>方芸晶</v>
      </c>
      <c r="D639" s="3" t="str">
        <f t="shared" si="10"/>
        <v>女</v>
      </c>
      <c r="E639" s="3" t="str">
        <f>"1990-07-24"</f>
        <v>1990-07-24</v>
      </c>
    </row>
    <row r="640" spans="1:5" s="4" customFormat="1" ht="18" customHeight="1">
      <c r="A640" s="3" t="str">
        <f>"21342019072817553295902"</f>
        <v>21342019072817553295902</v>
      </c>
      <c r="B640" s="3" t="s">
        <v>6</v>
      </c>
      <c r="C640" s="3" t="str">
        <f>"陈月"</f>
        <v>陈月</v>
      </c>
      <c r="D640" s="3" t="str">
        <f t="shared" si="10"/>
        <v>女</v>
      </c>
      <c r="E640" s="3" t="str">
        <f>"1994-12-05"</f>
        <v>1994-12-05</v>
      </c>
    </row>
    <row r="641" spans="1:5" s="4" customFormat="1" ht="18" customHeight="1">
      <c r="A641" s="3" t="str">
        <f>"21342019072817564495904"</f>
        <v>21342019072817564495904</v>
      </c>
      <c r="B641" s="3" t="s">
        <v>6</v>
      </c>
      <c r="C641" s="3" t="str">
        <f>"林玉惠"</f>
        <v>林玉惠</v>
      </c>
      <c r="D641" s="3" t="str">
        <f t="shared" si="10"/>
        <v>女</v>
      </c>
      <c r="E641" s="3" t="str">
        <f>"1993-01-11"</f>
        <v>1993-01-11</v>
      </c>
    </row>
    <row r="642" spans="1:5" s="4" customFormat="1" ht="18" customHeight="1">
      <c r="A642" s="3" t="str">
        <f>"21342019072818025695907"</f>
        <v>21342019072818025695907</v>
      </c>
      <c r="B642" s="3" t="s">
        <v>6</v>
      </c>
      <c r="C642" s="3" t="str">
        <f>"李永秀"</f>
        <v>李永秀</v>
      </c>
      <c r="D642" s="3" t="str">
        <f t="shared" si="10"/>
        <v>女</v>
      </c>
      <c r="E642" s="3" t="str">
        <f>"1989-09-12"</f>
        <v>1989-09-12</v>
      </c>
    </row>
    <row r="643" spans="1:5" s="4" customFormat="1" ht="18" customHeight="1">
      <c r="A643" s="3" t="str">
        <f>"21342019072818030895908"</f>
        <v>21342019072818030895908</v>
      </c>
      <c r="B643" s="3" t="s">
        <v>6</v>
      </c>
      <c r="C643" s="3" t="str">
        <f>"黄琼丽"</f>
        <v>黄琼丽</v>
      </c>
      <c r="D643" s="3" t="str">
        <f t="shared" si="10"/>
        <v>女</v>
      </c>
      <c r="E643" s="3" t="str">
        <f>"1992-05-28"</f>
        <v>1992-05-28</v>
      </c>
    </row>
    <row r="644" spans="1:5" s="4" customFormat="1" ht="18" customHeight="1">
      <c r="A644" s="3" t="str">
        <f>"21342019072818034995909"</f>
        <v>21342019072818034995909</v>
      </c>
      <c r="B644" s="3" t="s">
        <v>6</v>
      </c>
      <c r="C644" s="3" t="str">
        <f>"张夏梅"</f>
        <v>张夏梅</v>
      </c>
      <c r="D644" s="3" t="str">
        <f t="shared" si="10"/>
        <v>女</v>
      </c>
      <c r="E644" s="3" t="str">
        <f>"1994-12-03"</f>
        <v>1994-12-03</v>
      </c>
    </row>
    <row r="645" spans="1:5" s="4" customFormat="1" ht="18" customHeight="1">
      <c r="A645" s="3" t="str">
        <f>"21342019072818054095910"</f>
        <v>21342019072818054095910</v>
      </c>
      <c r="B645" s="3" t="s">
        <v>6</v>
      </c>
      <c r="C645" s="3" t="str">
        <f>"林晓云"</f>
        <v>林晓云</v>
      </c>
      <c r="D645" s="3" t="str">
        <f t="shared" si="10"/>
        <v>女</v>
      </c>
      <c r="E645" s="3" t="str">
        <f>"1994-10-24"</f>
        <v>1994-10-24</v>
      </c>
    </row>
    <row r="646" spans="1:5" s="4" customFormat="1" ht="18" customHeight="1">
      <c r="A646" s="3" t="str">
        <f>"21342019072818063495911"</f>
        <v>21342019072818063495911</v>
      </c>
      <c r="B646" s="3" t="s">
        <v>6</v>
      </c>
      <c r="C646" s="3" t="str">
        <f>"符珊华"</f>
        <v>符珊华</v>
      </c>
      <c r="D646" s="3" t="str">
        <f t="shared" si="10"/>
        <v>女</v>
      </c>
      <c r="E646" s="3" t="str">
        <f>"1993-03-18"</f>
        <v>1993-03-18</v>
      </c>
    </row>
    <row r="647" spans="1:5" s="4" customFormat="1" ht="18" customHeight="1">
      <c r="A647" s="3" t="str">
        <f>"21342019072818074395912"</f>
        <v>21342019072818074395912</v>
      </c>
      <c r="B647" s="3" t="s">
        <v>6</v>
      </c>
      <c r="C647" s="3" t="str">
        <f>"李娉婷"</f>
        <v>李娉婷</v>
      </c>
      <c r="D647" s="3" t="str">
        <f t="shared" si="10"/>
        <v>女</v>
      </c>
      <c r="E647" s="3" t="str">
        <f>"1998-05-03"</f>
        <v>1998-05-03</v>
      </c>
    </row>
    <row r="648" spans="1:5" s="4" customFormat="1" ht="18" customHeight="1">
      <c r="A648" s="3" t="str">
        <f>"21342019072818113595914"</f>
        <v>21342019072818113595914</v>
      </c>
      <c r="B648" s="3" t="s">
        <v>6</v>
      </c>
      <c r="C648" s="3" t="str">
        <f>"罗祥始"</f>
        <v>罗祥始</v>
      </c>
      <c r="D648" s="3" t="str">
        <f t="shared" si="10"/>
        <v>女</v>
      </c>
      <c r="E648" s="3" t="str">
        <f>"1995-04-03"</f>
        <v>1995-04-03</v>
      </c>
    </row>
    <row r="649" spans="1:5" s="4" customFormat="1" ht="18" customHeight="1">
      <c r="A649" s="3" t="str">
        <f>"21342019072818114395915"</f>
        <v>21342019072818114395915</v>
      </c>
      <c r="B649" s="3" t="s">
        <v>6</v>
      </c>
      <c r="C649" s="3" t="str">
        <f>"李春兰"</f>
        <v>李春兰</v>
      </c>
      <c r="D649" s="3" t="str">
        <f t="shared" si="10"/>
        <v>女</v>
      </c>
      <c r="E649" s="3" t="str">
        <f>"1992-07-23"</f>
        <v>1992-07-23</v>
      </c>
    </row>
    <row r="650" spans="1:5" s="4" customFormat="1" ht="18" customHeight="1">
      <c r="A650" s="3" t="str">
        <f>"21342019072818115595916"</f>
        <v>21342019072818115595916</v>
      </c>
      <c r="B650" s="3" t="s">
        <v>6</v>
      </c>
      <c r="C650" s="3" t="str">
        <f>"冯春柳"</f>
        <v>冯春柳</v>
      </c>
      <c r="D650" s="3" t="str">
        <f t="shared" si="10"/>
        <v>女</v>
      </c>
      <c r="E650" s="3" t="str">
        <f>"1998-04-16"</f>
        <v>1998-04-16</v>
      </c>
    </row>
    <row r="651" spans="1:5" s="4" customFormat="1" ht="18" customHeight="1">
      <c r="A651" s="3" t="str">
        <f>"21342019072818121795917"</f>
        <v>21342019072818121795917</v>
      </c>
      <c r="B651" s="3" t="s">
        <v>6</v>
      </c>
      <c r="C651" s="3" t="str">
        <f>"郑孟程"</f>
        <v>郑孟程</v>
      </c>
      <c r="D651" s="3" t="str">
        <f t="shared" si="10"/>
        <v>女</v>
      </c>
      <c r="E651" s="3" t="str">
        <f>"1993-05-15"</f>
        <v>1993-05-15</v>
      </c>
    </row>
    <row r="652" spans="1:5" s="4" customFormat="1" ht="18" customHeight="1">
      <c r="A652" s="3" t="str">
        <f>"21342019072818145095919"</f>
        <v>21342019072818145095919</v>
      </c>
      <c r="B652" s="3" t="s">
        <v>6</v>
      </c>
      <c r="C652" s="3" t="str">
        <f>"周良鸳"</f>
        <v>周良鸳</v>
      </c>
      <c r="D652" s="3" t="str">
        <f t="shared" si="10"/>
        <v>女</v>
      </c>
      <c r="E652" s="3" t="str">
        <f>"1996-11-07"</f>
        <v>1996-11-07</v>
      </c>
    </row>
    <row r="653" spans="1:5" s="4" customFormat="1" ht="18" customHeight="1">
      <c r="A653" s="3" t="str">
        <f>"21342019072818203195922"</f>
        <v>21342019072818203195922</v>
      </c>
      <c r="B653" s="3" t="s">
        <v>6</v>
      </c>
      <c r="C653" s="3" t="str">
        <f>"范霓颖"</f>
        <v>范霓颖</v>
      </c>
      <c r="D653" s="3" t="str">
        <f t="shared" si="10"/>
        <v>女</v>
      </c>
      <c r="E653" s="3" t="str">
        <f>"1993-03-09"</f>
        <v>1993-03-09</v>
      </c>
    </row>
    <row r="654" spans="1:5" s="4" customFormat="1" ht="18" customHeight="1">
      <c r="A654" s="3" t="str">
        <f>"21342019072818211095923"</f>
        <v>21342019072818211095923</v>
      </c>
      <c r="B654" s="3" t="s">
        <v>6</v>
      </c>
      <c r="C654" s="3" t="str">
        <f>"陈玉团"</f>
        <v>陈玉团</v>
      </c>
      <c r="D654" s="3" t="str">
        <f t="shared" si="10"/>
        <v>女</v>
      </c>
      <c r="E654" s="3" t="str">
        <f>"1993-02-06"</f>
        <v>1993-02-06</v>
      </c>
    </row>
    <row r="655" spans="1:5" s="4" customFormat="1" ht="18" customHeight="1">
      <c r="A655" s="3" t="str">
        <f>"21342019072818222295924"</f>
        <v>21342019072818222295924</v>
      </c>
      <c r="B655" s="3" t="s">
        <v>6</v>
      </c>
      <c r="C655" s="3" t="str">
        <f>"林小小"</f>
        <v>林小小</v>
      </c>
      <c r="D655" s="3" t="str">
        <f t="shared" si="10"/>
        <v>女</v>
      </c>
      <c r="E655" s="3" t="str">
        <f>"2000-07-31"</f>
        <v>2000-07-31</v>
      </c>
    </row>
    <row r="656" spans="1:5" s="4" customFormat="1" ht="18" customHeight="1">
      <c r="A656" s="3" t="str">
        <f>"21342019072818240995925"</f>
        <v>21342019072818240995925</v>
      </c>
      <c r="B656" s="3" t="s">
        <v>6</v>
      </c>
      <c r="C656" s="3" t="str">
        <f>"陈颖颖"</f>
        <v>陈颖颖</v>
      </c>
      <c r="D656" s="3" t="str">
        <f t="shared" si="10"/>
        <v>女</v>
      </c>
      <c r="E656" s="3" t="str">
        <f>"1991-11-12"</f>
        <v>1991-11-12</v>
      </c>
    </row>
    <row r="657" spans="1:5" s="4" customFormat="1" ht="18" customHeight="1">
      <c r="A657" s="3" t="str">
        <f>"21342019072818294395927"</f>
        <v>21342019072818294395927</v>
      </c>
      <c r="B657" s="3" t="s">
        <v>6</v>
      </c>
      <c r="C657" s="3" t="str">
        <f>"王明禧"</f>
        <v>王明禧</v>
      </c>
      <c r="D657" s="3" t="str">
        <f t="shared" si="10"/>
        <v>女</v>
      </c>
      <c r="E657" s="3" t="str">
        <f>"1994-01-05"</f>
        <v>1994-01-05</v>
      </c>
    </row>
    <row r="658" spans="1:5" s="4" customFormat="1" ht="18" customHeight="1">
      <c r="A658" s="3" t="str">
        <f>"21342019072818305895928"</f>
        <v>21342019072818305895928</v>
      </c>
      <c r="B658" s="3" t="s">
        <v>6</v>
      </c>
      <c r="C658" s="3" t="str">
        <f>"文梅妍"</f>
        <v>文梅妍</v>
      </c>
      <c r="D658" s="3" t="str">
        <f t="shared" si="10"/>
        <v>女</v>
      </c>
      <c r="E658" s="3" t="str">
        <f>"1991-04-12"</f>
        <v>1991-04-12</v>
      </c>
    </row>
    <row r="659" spans="1:5" s="4" customFormat="1" ht="18" customHeight="1">
      <c r="A659" s="3" t="str">
        <f>"21342019072818325095929"</f>
        <v>21342019072818325095929</v>
      </c>
      <c r="B659" s="3" t="s">
        <v>6</v>
      </c>
      <c r="C659" s="3" t="str">
        <f>"周颀磊"</f>
        <v>周颀磊</v>
      </c>
      <c r="D659" s="3" t="str">
        <f aca="true" t="shared" si="11" ref="D659:D722">"女"</f>
        <v>女</v>
      </c>
      <c r="E659" s="3" t="str">
        <f>"1991-08-14"</f>
        <v>1991-08-14</v>
      </c>
    </row>
    <row r="660" spans="1:5" s="4" customFormat="1" ht="18" customHeight="1">
      <c r="A660" s="3" t="str">
        <f>"21342019072818383795931"</f>
        <v>21342019072818383795931</v>
      </c>
      <c r="B660" s="3" t="s">
        <v>6</v>
      </c>
      <c r="C660" s="3" t="str">
        <f>"彭晓月"</f>
        <v>彭晓月</v>
      </c>
      <c r="D660" s="3" t="str">
        <f t="shared" si="11"/>
        <v>女</v>
      </c>
      <c r="E660" s="3" t="str">
        <f>"1997-06-06"</f>
        <v>1997-06-06</v>
      </c>
    </row>
    <row r="661" spans="1:5" s="4" customFormat="1" ht="18" customHeight="1">
      <c r="A661" s="3" t="str">
        <f>"21342019072818394095934"</f>
        <v>21342019072818394095934</v>
      </c>
      <c r="B661" s="3" t="s">
        <v>6</v>
      </c>
      <c r="C661" s="3" t="str">
        <f>"庄海新"</f>
        <v>庄海新</v>
      </c>
      <c r="D661" s="3" t="str">
        <f t="shared" si="11"/>
        <v>女</v>
      </c>
      <c r="E661" s="3" t="str">
        <f>"1995-10-01"</f>
        <v>1995-10-01</v>
      </c>
    </row>
    <row r="662" spans="1:5" s="4" customFormat="1" ht="18" customHeight="1">
      <c r="A662" s="3" t="str">
        <f>"21342019072818423695935"</f>
        <v>21342019072818423695935</v>
      </c>
      <c r="B662" s="3" t="s">
        <v>6</v>
      </c>
      <c r="C662" s="3" t="str">
        <f>"林金英"</f>
        <v>林金英</v>
      </c>
      <c r="D662" s="3" t="str">
        <f t="shared" si="11"/>
        <v>女</v>
      </c>
      <c r="E662" s="3" t="str">
        <f>"1991-02-25"</f>
        <v>1991-02-25</v>
      </c>
    </row>
    <row r="663" spans="1:5" s="4" customFormat="1" ht="18" customHeight="1">
      <c r="A663" s="3" t="str">
        <f>"21342019072818424795936"</f>
        <v>21342019072818424795936</v>
      </c>
      <c r="B663" s="3" t="s">
        <v>6</v>
      </c>
      <c r="C663" s="3" t="str">
        <f>"林雅洁"</f>
        <v>林雅洁</v>
      </c>
      <c r="D663" s="3" t="str">
        <f t="shared" si="11"/>
        <v>女</v>
      </c>
      <c r="E663" s="3" t="str">
        <f>"1994-12-08"</f>
        <v>1994-12-08</v>
      </c>
    </row>
    <row r="664" spans="1:5" s="4" customFormat="1" ht="18" customHeight="1">
      <c r="A664" s="3" t="str">
        <f>"21342019072818515795942"</f>
        <v>21342019072818515795942</v>
      </c>
      <c r="B664" s="3" t="s">
        <v>6</v>
      </c>
      <c r="C664" s="3" t="str">
        <f>"陈丽永"</f>
        <v>陈丽永</v>
      </c>
      <c r="D664" s="3" t="str">
        <f t="shared" si="11"/>
        <v>女</v>
      </c>
      <c r="E664" s="3" t="str">
        <f>"1993-11-18"</f>
        <v>1993-11-18</v>
      </c>
    </row>
    <row r="665" spans="1:5" s="4" customFormat="1" ht="18" customHeight="1">
      <c r="A665" s="3" t="str">
        <f>"21342019072819052095947"</f>
        <v>21342019072819052095947</v>
      </c>
      <c r="B665" s="3" t="s">
        <v>6</v>
      </c>
      <c r="C665" s="3" t="str">
        <f>"王燕归"</f>
        <v>王燕归</v>
      </c>
      <c r="D665" s="3" t="str">
        <f t="shared" si="11"/>
        <v>女</v>
      </c>
      <c r="E665" s="3" t="str">
        <f>"1993-10-03"</f>
        <v>1993-10-03</v>
      </c>
    </row>
    <row r="666" spans="1:5" s="4" customFormat="1" ht="18" customHeight="1">
      <c r="A666" s="3" t="str">
        <f>"21342019072819103495948"</f>
        <v>21342019072819103495948</v>
      </c>
      <c r="B666" s="3" t="s">
        <v>6</v>
      </c>
      <c r="C666" s="3" t="str">
        <f>"符志梅"</f>
        <v>符志梅</v>
      </c>
      <c r="D666" s="3" t="str">
        <f t="shared" si="11"/>
        <v>女</v>
      </c>
      <c r="E666" s="3" t="str">
        <f>"1995-05-08"</f>
        <v>1995-05-08</v>
      </c>
    </row>
    <row r="667" spans="1:5" s="4" customFormat="1" ht="18" customHeight="1">
      <c r="A667" s="3" t="str">
        <f>"21342019072819115195949"</f>
        <v>21342019072819115195949</v>
      </c>
      <c r="B667" s="3" t="s">
        <v>6</v>
      </c>
      <c r="C667" s="3" t="str">
        <f>"郑永菊"</f>
        <v>郑永菊</v>
      </c>
      <c r="D667" s="3" t="str">
        <f t="shared" si="11"/>
        <v>女</v>
      </c>
      <c r="E667" s="3" t="str">
        <f>"1993-12-22"</f>
        <v>1993-12-22</v>
      </c>
    </row>
    <row r="668" spans="1:5" s="4" customFormat="1" ht="18" customHeight="1">
      <c r="A668" s="3" t="str">
        <f>"21342019072819133195953"</f>
        <v>21342019072819133195953</v>
      </c>
      <c r="B668" s="3" t="s">
        <v>6</v>
      </c>
      <c r="C668" s="3" t="str">
        <f>"周花容"</f>
        <v>周花容</v>
      </c>
      <c r="D668" s="3" t="str">
        <f t="shared" si="11"/>
        <v>女</v>
      </c>
      <c r="E668" s="3" t="str">
        <f>"1993-08-18"</f>
        <v>1993-08-18</v>
      </c>
    </row>
    <row r="669" spans="1:5" s="4" customFormat="1" ht="18" customHeight="1">
      <c r="A669" s="3" t="str">
        <f>"21342019072819152895954"</f>
        <v>21342019072819152895954</v>
      </c>
      <c r="B669" s="3" t="s">
        <v>6</v>
      </c>
      <c r="C669" s="3" t="str">
        <f>"文婉玲"</f>
        <v>文婉玲</v>
      </c>
      <c r="D669" s="3" t="str">
        <f t="shared" si="11"/>
        <v>女</v>
      </c>
      <c r="E669" s="3" t="str">
        <f>"1996-01-06"</f>
        <v>1996-01-06</v>
      </c>
    </row>
    <row r="670" spans="1:5" s="4" customFormat="1" ht="18" customHeight="1">
      <c r="A670" s="3" t="str">
        <f>"21342019072819154795955"</f>
        <v>21342019072819154795955</v>
      </c>
      <c r="B670" s="3" t="s">
        <v>6</v>
      </c>
      <c r="C670" s="3" t="str">
        <f>"符小苗"</f>
        <v>符小苗</v>
      </c>
      <c r="D670" s="3" t="str">
        <f t="shared" si="11"/>
        <v>女</v>
      </c>
      <c r="E670" s="3" t="str">
        <f>"1991-08-09"</f>
        <v>1991-08-09</v>
      </c>
    </row>
    <row r="671" spans="1:5" s="4" customFormat="1" ht="18" customHeight="1">
      <c r="A671" s="3" t="str">
        <f>"21342019072819205395957"</f>
        <v>21342019072819205395957</v>
      </c>
      <c r="B671" s="3" t="s">
        <v>6</v>
      </c>
      <c r="C671" s="3" t="str">
        <f>"赵爱玲"</f>
        <v>赵爱玲</v>
      </c>
      <c r="D671" s="3" t="str">
        <f t="shared" si="11"/>
        <v>女</v>
      </c>
      <c r="E671" s="3" t="str">
        <f>"1992-04-08"</f>
        <v>1992-04-08</v>
      </c>
    </row>
    <row r="672" spans="1:5" s="4" customFormat="1" ht="18" customHeight="1">
      <c r="A672" s="3" t="str">
        <f>"21342019072819252795960"</f>
        <v>21342019072819252795960</v>
      </c>
      <c r="B672" s="3" t="s">
        <v>6</v>
      </c>
      <c r="C672" s="3" t="str">
        <f>"李有希"</f>
        <v>李有希</v>
      </c>
      <c r="D672" s="3" t="str">
        <f t="shared" si="11"/>
        <v>女</v>
      </c>
      <c r="E672" s="3" t="str">
        <f>"1990-04-06"</f>
        <v>1990-04-06</v>
      </c>
    </row>
    <row r="673" spans="1:5" s="4" customFormat="1" ht="18" customHeight="1">
      <c r="A673" s="3" t="str">
        <f>"21342019072819440895964"</f>
        <v>21342019072819440895964</v>
      </c>
      <c r="B673" s="3" t="s">
        <v>6</v>
      </c>
      <c r="C673" s="3" t="str">
        <f>"张小旖"</f>
        <v>张小旖</v>
      </c>
      <c r="D673" s="3" t="str">
        <f t="shared" si="11"/>
        <v>女</v>
      </c>
      <c r="E673" s="3" t="str">
        <f>"1989-09-19"</f>
        <v>1989-09-19</v>
      </c>
    </row>
    <row r="674" spans="1:5" s="4" customFormat="1" ht="18" customHeight="1">
      <c r="A674" s="3" t="str">
        <f>"21342019072819480295966"</f>
        <v>21342019072819480295966</v>
      </c>
      <c r="B674" s="3" t="s">
        <v>6</v>
      </c>
      <c r="C674" s="3" t="str">
        <f>"李小贝"</f>
        <v>李小贝</v>
      </c>
      <c r="D674" s="3" t="str">
        <f t="shared" si="11"/>
        <v>女</v>
      </c>
      <c r="E674" s="3" t="str">
        <f>"1994-05-12"</f>
        <v>1994-05-12</v>
      </c>
    </row>
    <row r="675" spans="1:5" s="4" customFormat="1" ht="18" customHeight="1">
      <c r="A675" s="3" t="str">
        <f>"21342019072819523095968"</f>
        <v>21342019072819523095968</v>
      </c>
      <c r="B675" s="3" t="s">
        <v>6</v>
      </c>
      <c r="C675" s="3" t="str">
        <f>"徐惠转"</f>
        <v>徐惠转</v>
      </c>
      <c r="D675" s="3" t="str">
        <f t="shared" si="11"/>
        <v>女</v>
      </c>
      <c r="E675" s="3" t="str">
        <f>"1990-01-15"</f>
        <v>1990-01-15</v>
      </c>
    </row>
    <row r="676" spans="1:5" s="4" customFormat="1" ht="18" customHeight="1">
      <c r="A676" s="3" t="str">
        <f>"21342019072819574195970"</f>
        <v>21342019072819574195970</v>
      </c>
      <c r="B676" s="3" t="s">
        <v>6</v>
      </c>
      <c r="C676" s="3" t="str">
        <f>"韩小燕"</f>
        <v>韩小燕</v>
      </c>
      <c r="D676" s="3" t="str">
        <f t="shared" si="11"/>
        <v>女</v>
      </c>
      <c r="E676" s="3" t="str">
        <f>"1992-06-20"</f>
        <v>1992-06-20</v>
      </c>
    </row>
    <row r="677" spans="1:5" s="4" customFormat="1" ht="18" customHeight="1">
      <c r="A677" s="3" t="str">
        <f>"21342019072820085395973"</f>
        <v>21342019072820085395973</v>
      </c>
      <c r="B677" s="3" t="s">
        <v>6</v>
      </c>
      <c r="C677" s="3" t="str">
        <f>"唐娟"</f>
        <v>唐娟</v>
      </c>
      <c r="D677" s="3" t="str">
        <f t="shared" si="11"/>
        <v>女</v>
      </c>
      <c r="E677" s="3" t="str">
        <f>"1995-04-26"</f>
        <v>1995-04-26</v>
      </c>
    </row>
    <row r="678" spans="1:5" s="4" customFormat="1" ht="18" customHeight="1">
      <c r="A678" s="3" t="str">
        <f>"21342019072820094595974"</f>
        <v>21342019072820094595974</v>
      </c>
      <c r="B678" s="3" t="s">
        <v>6</v>
      </c>
      <c r="C678" s="3" t="str">
        <f>"王燕玉"</f>
        <v>王燕玉</v>
      </c>
      <c r="D678" s="3" t="str">
        <f t="shared" si="11"/>
        <v>女</v>
      </c>
      <c r="E678" s="3" t="str">
        <f>"1993-02-17"</f>
        <v>1993-02-17</v>
      </c>
    </row>
    <row r="679" spans="1:5" s="4" customFormat="1" ht="18" customHeight="1">
      <c r="A679" s="3" t="str">
        <f>"21342019072820095795976"</f>
        <v>21342019072820095795976</v>
      </c>
      <c r="B679" s="3" t="s">
        <v>6</v>
      </c>
      <c r="C679" s="3" t="str">
        <f>"罗燕苹"</f>
        <v>罗燕苹</v>
      </c>
      <c r="D679" s="3" t="str">
        <f t="shared" si="11"/>
        <v>女</v>
      </c>
      <c r="E679" s="3" t="str">
        <f>"1995-10-27"</f>
        <v>1995-10-27</v>
      </c>
    </row>
    <row r="680" spans="1:5" s="4" customFormat="1" ht="18" customHeight="1">
      <c r="A680" s="3" t="str">
        <f>"21342019072820190695979"</f>
        <v>21342019072820190695979</v>
      </c>
      <c r="B680" s="3" t="s">
        <v>6</v>
      </c>
      <c r="C680" s="3" t="str">
        <f>"林娇珍"</f>
        <v>林娇珍</v>
      </c>
      <c r="D680" s="3" t="str">
        <f t="shared" si="11"/>
        <v>女</v>
      </c>
      <c r="E680" s="3" t="str">
        <f>"1996-04-27"</f>
        <v>1996-04-27</v>
      </c>
    </row>
    <row r="681" spans="1:5" s="4" customFormat="1" ht="18" customHeight="1">
      <c r="A681" s="3" t="str">
        <f>"21342019072820204595980"</f>
        <v>21342019072820204595980</v>
      </c>
      <c r="B681" s="3" t="s">
        <v>6</v>
      </c>
      <c r="C681" s="3" t="str">
        <f>"林村蓉"</f>
        <v>林村蓉</v>
      </c>
      <c r="D681" s="3" t="str">
        <f t="shared" si="11"/>
        <v>女</v>
      </c>
      <c r="E681" s="3" t="str">
        <f>"1998-01-23"</f>
        <v>1998-01-23</v>
      </c>
    </row>
    <row r="682" spans="1:5" s="4" customFormat="1" ht="18" customHeight="1">
      <c r="A682" s="3" t="str">
        <f>"21342019072820234695983"</f>
        <v>21342019072820234695983</v>
      </c>
      <c r="B682" s="3" t="s">
        <v>6</v>
      </c>
      <c r="C682" s="3" t="str">
        <f>"吴小丹"</f>
        <v>吴小丹</v>
      </c>
      <c r="D682" s="3" t="str">
        <f t="shared" si="11"/>
        <v>女</v>
      </c>
      <c r="E682" s="3" t="str">
        <f>"1991-07-15"</f>
        <v>1991-07-15</v>
      </c>
    </row>
    <row r="683" spans="1:5" s="4" customFormat="1" ht="18" customHeight="1">
      <c r="A683" s="3" t="str">
        <f>"21342019072820271295984"</f>
        <v>21342019072820271295984</v>
      </c>
      <c r="B683" s="3" t="s">
        <v>6</v>
      </c>
      <c r="C683" s="3" t="str">
        <f>"许马伟"</f>
        <v>许马伟</v>
      </c>
      <c r="D683" s="3" t="str">
        <f t="shared" si="11"/>
        <v>女</v>
      </c>
      <c r="E683" s="3" t="str">
        <f>"1990-01-01"</f>
        <v>1990-01-01</v>
      </c>
    </row>
    <row r="684" spans="1:5" s="4" customFormat="1" ht="18" customHeight="1">
      <c r="A684" s="3" t="str">
        <f>"21342019072820272695985"</f>
        <v>21342019072820272695985</v>
      </c>
      <c r="B684" s="3" t="s">
        <v>6</v>
      </c>
      <c r="C684" s="3" t="str">
        <f>"王雪"</f>
        <v>王雪</v>
      </c>
      <c r="D684" s="3" t="str">
        <f t="shared" si="11"/>
        <v>女</v>
      </c>
      <c r="E684" s="3" t="str">
        <f>"1991-07-09"</f>
        <v>1991-07-09</v>
      </c>
    </row>
    <row r="685" spans="1:5" s="4" customFormat="1" ht="18" customHeight="1">
      <c r="A685" s="3" t="str">
        <f>"21342019072820280395986"</f>
        <v>21342019072820280395986</v>
      </c>
      <c r="B685" s="3" t="s">
        <v>6</v>
      </c>
      <c r="C685" s="3" t="str">
        <f>"周暖"</f>
        <v>周暖</v>
      </c>
      <c r="D685" s="3" t="str">
        <f t="shared" si="11"/>
        <v>女</v>
      </c>
      <c r="E685" s="3" t="str">
        <f>"1997-05-08"</f>
        <v>1997-05-08</v>
      </c>
    </row>
    <row r="686" spans="1:5" s="4" customFormat="1" ht="18" customHeight="1">
      <c r="A686" s="3" t="str">
        <f>"21342019072820310295987"</f>
        <v>21342019072820310295987</v>
      </c>
      <c r="B686" s="3" t="s">
        <v>6</v>
      </c>
      <c r="C686" s="3" t="str">
        <f>"庄玲"</f>
        <v>庄玲</v>
      </c>
      <c r="D686" s="3" t="str">
        <f t="shared" si="11"/>
        <v>女</v>
      </c>
      <c r="E686" s="3" t="str">
        <f>"1998-05-31"</f>
        <v>1998-05-31</v>
      </c>
    </row>
    <row r="687" spans="1:5" s="4" customFormat="1" ht="18" customHeight="1">
      <c r="A687" s="3" t="str">
        <f>"21342019072820330395988"</f>
        <v>21342019072820330395988</v>
      </c>
      <c r="B687" s="3" t="s">
        <v>6</v>
      </c>
      <c r="C687" s="3" t="str">
        <f>"王秀英"</f>
        <v>王秀英</v>
      </c>
      <c r="D687" s="3" t="str">
        <f t="shared" si="11"/>
        <v>女</v>
      </c>
      <c r="E687" s="3" t="str">
        <f>"1989-10-15"</f>
        <v>1989-10-15</v>
      </c>
    </row>
    <row r="688" spans="1:5" s="4" customFormat="1" ht="18" customHeight="1">
      <c r="A688" s="3" t="str">
        <f>"21342019072820332195989"</f>
        <v>21342019072820332195989</v>
      </c>
      <c r="B688" s="3" t="s">
        <v>6</v>
      </c>
      <c r="C688" s="3" t="str">
        <f>"黄亚优"</f>
        <v>黄亚优</v>
      </c>
      <c r="D688" s="3" t="str">
        <f t="shared" si="11"/>
        <v>女</v>
      </c>
      <c r="E688" s="3" t="str">
        <f>"1996-10-30"</f>
        <v>1996-10-30</v>
      </c>
    </row>
    <row r="689" spans="1:5" s="4" customFormat="1" ht="18" customHeight="1">
      <c r="A689" s="3" t="str">
        <f>"21342019072820365495993"</f>
        <v>21342019072820365495993</v>
      </c>
      <c r="B689" s="3" t="s">
        <v>6</v>
      </c>
      <c r="C689" s="3" t="str">
        <f>"黄丽蓁"</f>
        <v>黄丽蓁</v>
      </c>
      <c r="D689" s="3" t="str">
        <f t="shared" si="11"/>
        <v>女</v>
      </c>
      <c r="E689" s="3" t="str">
        <f>"1994-08-08"</f>
        <v>1994-08-08</v>
      </c>
    </row>
    <row r="690" spans="1:5" s="4" customFormat="1" ht="18" customHeight="1">
      <c r="A690" s="3" t="str">
        <f>"21342019072820434895997"</f>
        <v>21342019072820434895997</v>
      </c>
      <c r="B690" s="3" t="s">
        <v>6</v>
      </c>
      <c r="C690" s="3" t="str">
        <f>"杨燕玲"</f>
        <v>杨燕玲</v>
      </c>
      <c r="D690" s="3" t="str">
        <f t="shared" si="11"/>
        <v>女</v>
      </c>
      <c r="E690" s="3" t="str">
        <f>"1993-10-19"</f>
        <v>1993-10-19</v>
      </c>
    </row>
    <row r="691" spans="1:5" s="4" customFormat="1" ht="18" customHeight="1">
      <c r="A691" s="3" t="str">
        <f>"21342019072820501996000"</f>
        <v>21342019072820501996000</v>
      </c>
      <c r="B691" s="3" t="s">
        <v>6</v>
      </c>
      <c r="C691" s="3" t="str">
        <f>"吴淑艳"</f>
        <v>吴淑艳</v>
      </c>
      <c r="D691" s="3" t="str">
        <f t="shared" si="11"/>
        <v>女</v>
      </c>
      <c r="E691" s="3" t="str">
        <f>"1996-02-08"</f>
        <v>1996-02-08</v>
      </c>
    </row>
    <row r="692" spans="1:5" s="4" customFormat="1" ht="18" customHeight="1">
      <c r="A692" s="3" t="str">
        <f>"21342019072820554496005"</f>
        <v>21342019072820554496005</v>
      </c>
      <c r="B692" s="3" t="s">
        <v>6</v>
      </c>
      <c r="C692" s="3" t="str">
        <f>"羊笑莹"</f>
        <v>羊笑莹</v>
      </c>
      <c r="D692" s="3" t="str">
        <f t="shared" si="11"/>
        <v>女</v>
      </c>
      <c r="E692" s="3" t="str">
        <f>"1994-09-26"</f>
        <v>1994-09-26</v>
      </c>
    </row>
    <row r="693" spans="1:5" s="4" customFormat="1" ht="18" customHeight="1">
      <c r="A693" s="3" t="str">
        <f>"21342019072820561096006"</f>
        <v>21342019072820561096006</v>
      </c>
      <c r="B693" s="3" t="s">
        <v>6</v>
      </c>
      <c r="C693" s="3" t="str">
        <f>"陈晓乐"</f>
        <v>陈晓乐</v>
      </c>
      <c r="D693" s="3" t="str">
        <f t="shared" si="11"/>
        <v>女</v>
      </c>
      <c r="E693" s="3" t="str">
        <f>"1995-02-16"</f>
        <v>1995-02-16</v>
      </c>
    </row>
    <row r="694" spans="1:5" s="4" customFormat="1" ht="18" customHeight="1">
      <c r="A694" s="3" t="str">
        <f>"21342019072821023096008"</f>
        <v>21342019072821023096008</v>
      </c>
      <c r="B694" s="3" t="s">
        <v>6</v>
      </c>
      <c r="C694" s="3" t="str">
        <f>"黄惠"</f>
        <v>黄惠</v>
      </c>
      <c r="D694" s="3" t="str">
        <f t="shared" si="11"/>
        <v>女</v>
      </c>
      <c r="E694" s="3" t="str">
        <f>"1995-08-04"</f>
        <v>1995-08-04</v>
      </c>
    </row>
    <row r="695" spans="1:5" s="4" customFormat="1" ht="18" customHeight="1">
      <c r="A695" s="3" t="str">
        <f>"21342019072821031996009"</f>
        <v>21342019072821031996009</v>
      </c>
      <c r="B695" s="3" t="s">
        <v>6</v>
      </c>
      <c r="C695" s="3" t="str">
        <f>"许丽英"</f>
        <v>许丽英</v>
      </c>
      <c r="D695" s="3" t="str">
        <f t="shared" si="11"/>
        <v>女</v>
      </c>
      <c r="E695" s="3" t="str">
        <f>"1992-04-23"</f>
        <v>1992-04-23</v>
      </c>
    </row>
    <row r="696" spans="1:5" s="4" customFormat="1" ht="18" customHeight="1">
      <c r="A696" s="3" t="str">
        <f>"21342019072821050596011"</f>
        <v>21342019072821050596011</v>
      </c>
      <c r="B696" s="3" t="s">
        <v>6</v>
      </c>
      <c r="C696" s="3" t="str">
        <f>"唐春慰"</f>
        <v>唐春慰</v>
      </c>
      <c r="D696" s="3" t="str">
        <f t="shared" si="11"/>
        <v>女</v>
      </c>
      <c r="E696" s="3" t="str">
        <f>"1996-09-05"</f>
        <v>1996-09-05</v>
      </c>
    </row>
    <row r="697" spans="1:5" s="4" customFormat="1" ht="18" customHeight="1">
      <c r="A697" s="3" t="str">
        <f>"21342019072821070496013"</f>
        <v>21342019072821070496013</v>
      </c>
      <c r="B697" s="3" t="s">
        <v>6</v>
      </c>
      <c r="C697" s="3" t="str">
        <f>"陈瑶娥"</f>
        <v>陈瑶娥</v>
      </c>
      <c r="D697" s="3" t="str">
        <f t="shared" si="11"/>
        <v>女</v>
      </c>
      <c r="E697" s="3" t="str">
        <f>"1993-06-26"</f>
        <v>1993-06-26</v>
      </c>
    </row>
    <row r="698" spans="1:5" s="4" customFormat="1" ht="18" customHeight="1">
      <c r="A698" s="3" t="str">
        <f>"21342019072821073196014"</f>
        <v>21342019072821073196014</v>
      </c>
      <c r="B698" s="3" t="s">
        <v>6</v>
      </c>
      <c r="C698" s="3" t="str">
        <f>"吴春妹"</f>
        <v>吴春妹</v>
      </c>
      <c r="D698" s="3" t="str">
        <f t="shared" si="11"/>
        <v>女</v>
      </c>
      <c r="E698" s="3" t="str">
        <f>"1996-10-31"</f>
        <v>1996-10-31</v>
      </c>
    </row>
    <row r="699" spans="1:5" s="4" customFormat="1" ht="18" customHeight="1">
      <c r="A699" s="3" t="str">
        <f>"21342019072821094396017"</f>
        <v>21342019072821094396017</v>
      </c>
      <c r="B699" s="3" t="s">
        <v>6</v>
      </c>
      <c r="C699" s="3" t="str">
        <f>"陈婧"</f>
        <v>陈婧</v>
      </c>
      <c r="D699" s="3" t="str">
        <f t="shared" si="11"/>
        <v>女</v>
      </c>
      <c r="E699" s="3" t="str">
        <f>"1996-10-02"</f>
        <v>1996-10-02</v>
      </c>
    </row>
    <row r="700" spans="1:5" s="4" customFormat="1" ht="18" customHeight="1">
      <c r="A700" s="3" t="str">
        <f>"21342019072821110596018"</f>
        <v>21342019072821110596018</v>
      </c>
      <c r="B700" s="3" t="s">
        <v>6</v>
      </c>
      <c r="C700" s="3" t="str">
        <f>"王丽惠"</f>
        <v>王丽惠</v>
      </c>
      <c r="D700" s="3" t="str">
        <f t="shared" si="11"/>
        <v>女</v>
      </c>
      <c r="E700" s="3" t="str">
        <f>"1996-03-25"</f>
        <v>1996-03-25</v>
      </c>
    </row>
    <row r="701" spans="1:5" s="4" customFormat="1" ht="18" customHeight="1">
      <c r="A701" s="3" t="str">
        <f>"21342019072821125996019"</f>
        <v>21342019072821125996019</v>
      </c>
      <c r="B701" s="3" t="s">
        <v>6</v>
      </c>
      <c r="C701" s="3" t="str">
        <f>"颜亚梨"</f>
        <v>颜亚梨</v>
      </c>
      <c r="D701" s="3" t="str">
        <f t="shared" si="11"/>
        <v>女</v>
      </c>
      <c r="E701" s="3" t="str">
        <f>"1992-04-12"</f>
        <v>1992-04-12</v>
      </c>
    </row>
    <row r="702" spans="1:5" s="4" customFormat="1" ht="18" customHeight="1">
      <c r="A702" s="3" t="str">
        <f>"21342019072821172396020"</f>
        <v>21342019072821172396020</v>
      </c>
      <c r="B702" s="3" t="s">
        <v>6</v>
      </c>
      <c r="C702" s="3" t="str">
        <f>"张翆英"</f>
        <v>张翆英</v>
      </c>
      <c r="D702" s="3" t="str">
        <f t="shared" si="11"/>
        <v>女</v>
      </c>
      <c r="E702" s="3" t="str">
        <f>"1995-12-09"</f>
        <v>1995-12-09</v>
      </c>
    </row>
    <row r="703" spans="1:5" s="4" customFormat="1" ht="18" customHeight="1">
      <c r="A703" s="3" t="str">
        <f>"21342019072821191096021"</f>
        <v>21342019072821191096021</v>
      </c>
      <c r="B703" s="3" t="s">
        <v>6</v>
      </c>
      <c r="C703" s="3" t="str">
        <f>"曾秀桃"</f>
        <v>曾秀桃</v>
      </c>
      <c r="D703" s="3" t="str">
        <f t="shared" si="11"/>
        <v>女</v>
      </c>
      <c r="E703" s="3" t="str">
        <f>"1995-05-01"</f>
        <v>1995-05-01</v>
      </c>
    </row>
    <row r="704" spans="1:5" s="4" customFormat="1" ht="18" customHeight="1">
      <c r="A704" s="3" t="str">
        <f>"21342019072821262496026"</f>
        <v>21342019072821262496026</v>
      </c>
      <c r="B704" s="3" t="s">
        <v>6</v>
      </c>
      <c r="C704" s="3" t="str">
        <f>"欧春媛"</f>
        <v>欧春媛</v>
      </c>
      <c r="D704" s="3" t="str">
        <f t="shared" si="11"/>
        <v>女</v>
      </c>
      <c r="E704" s="3" t="str">
        <f>"1989-10-06"</f>
        <v>1989-10-06</v>
      </c>
    </row>
    <row r="705" spans="1:5" s="4" customFormat="1" ht="18" customHeight="1">
      <c r="A705" s="3" t="str">
        <f>"21342019072821265496027"</f>
        <v>21342019072821265496027</v>
      </c>
      <c r="B705" s="3" t="s">
        <v>6</v>
      </c>
      <c r="C705" s="3" t="str">
        <f>"林娜"</f>
        <v>林娜</v>
      </c>
      <c r="D705" s="3" t="str">
        <f t="shared" si="11"/>
        <v>女</v>
      </c>
      <c r="E705" s="3" t="str">
        <f>"1993-03-03"</f>
        <v>1993-03-03</v>
      </c>
    </row>
    <row r="706" spans="1:5" s="4" customFormat="1" ht="18" customHeight="1">
      <c r="A706" s="3" t="str">
        <f>"21342019072821285996028"</f>
        <v>21342019072821285996028</v>
      </c>
      <c r="B706" s="3" t="s">
        <v>6</v>
      </c>
      <c r="C706" s="3" t="str">
        <f>"羊丽英"</f>
        <v>羊丽英</v>
      </c>
      <c r="D706" s="3" t="str">
        <f t="shared" si="11"/>
        <v>女</v>
      </c>
      <c r="E706" s="3" t="str">
        <f>"1989-10-18"</f>
        <v>1989-10-18</v>
      </c>
    </row>
    <row r="707" spans="1:5" s="4" customFormat="1" ht="18" customHeight="1">
      <c r="A707" s="3" t="str">
        <f>"21342019072821293096029"</f>
        <v>21342019072821293096029</v>
      </c>
      <c r="B707" s="3" t="s">
        <v>6</v>
      </c>
      <c r="C707" s="3" t="str">
        <f>"符芝娜"</f>
        <v>符芝娜</v>
      </c>
      <c r="D707" s="3" t="str">
        <f t="shared" si="11"/>
        <v>女</v>
      </c>
      <c r="E707" s="3" t="str">
        <f>"1991-05-28"</f>
        <v>1991-05-28</v>
      </c>
    </row>
    <row r="708" spans="1:5" s="4" customFormat="1" ht="18" customHeight="1">
      <c r="A708" s="3" t="str">
        <f>"21342019072821341896030"</f>
        <v>21342019072821341896030</v>
      </c>
      <c r="B708" s="3" t="s">
        <v>6</v>
      </c>
      <c r="C708" s="3" t="str">
        <f>"钟虹"</f>
        <v>钟虹</v>
      </c>
      <c r="D708" s="3" t="str">
        <f t="shared" si="11"/>
        <v>女</v>
      </c>
      <c r="E708" s="3" t="str">
        <f>"1992-08-15"</f>
        <v>1992-08-15</v>
      </c>
    </row>
    <row r="709" spans="1:5" s="4" customFormat="1" ht="18" customHeight="1">
      <c r="A709" s="3" t="str">
        <f>"21342019072821354796031"</f>
        <v>21342019072821354796031</v>
      </c>
      <c r="B709" s="3" t="s">
        <v>6</v>
      </c>
      <c r="C709" s="3" t="str">
        <f>"陈小暖"</f>
        <v>陈小暖</v>
      </c>
      <c r="D709" s="3" t="str">
        <f t="shared" si="11"/>
        <v>女</v>
      </c>
      <c r="E709" s="3" t="str">
        <f>"1994-09-03"</f>
        <v>1994-09-03</v>
      </c>
    </row>
    <row r="710" spans="1:5" s="4" customFormat="1" ht="18" customHeight="1">
      <c r="A710" s="3" t="str">
        <f>"21342019072821364496034"</f>
        <v>21342019072821364496034</v>
      </c>
      <c r="B710" s="3" t="s">
        <v>6</v>
      </c>
      <c r="C710" s="3" t="str">
        <f>"陈壮飞"</f>
        <v>陈壮飞</v>
      </c>
      <c r="D710" s="3" t="str">
        <f t="shared" si="11"/>
        <v>女</v>
      </c>
      <c r="E710" s="3" t="str">
        <f>"1993-05-02"</f>
        <v>1993-05-02</v>
      </c>
    </row>
    <row r="711" spans="1:5" s="4" customFormat="1" ht="18" customHeight="1">
      <c r="A711" s="3" t="str">
        <f>"21342019072821551996046"</f>
        <v>21342019072821551996046</v>
      </c>
      <c r="B711" s="3" t="s">
        <v>6</v>
      </c>
      <c r="C711" s="3" t="str">
        <f>"李小娜"</f>
        <v>李小娜</v>
      </c>
      <c r="D711" s="3" t="str">
        <f t="shared" si="11"/>
        <v>女</v>
      </c>
      <c r="E711" s="3" t="str">
        <f>"1996-12-03"</f>
        <v>1996-12-03</v>
      </c>
    </row>
    <row r="712" spans="1:5" s="4" customFormat="1" ht="18" customHeight="1">
      <c r="A712" s="3" t="str">
        <f>"21342019072821585396050"</f>
        <v>21342019072821585396050</v>
      </c>
      <c r="B712" s="3" t="s">
        <v>6</v>
      </c>
      <c r="C712" s="3" t="str">
        <f>"李秋兑"</f>
        <v>李秋兑</v>
      </c>
      <c r="D712" s="3" t="str">
        <f t="shared" si="11"/>
        <v>女</v>
      </c>
      <c r="E712" s="3" t="str">
        <f>"1997-05-10"</f>
        <v>1997-05-10</v>
      </c>
    </row>
    <row r="713" spans="1:5" s="4" customFormat="1" ht="18" customHeight="1">
      <c r="A713" s="3" t="str">
        <f>"21342019072822021896054"</f>
        <v>21342019072822021896054</v>
      </c>
      <c r="B713" s="3" t="s">
        <v>6</v>
      </c>
      <c r="C713" s="3" t="str">
        <f>"刘雪梅"</f>
        <v>刘雪梅</v>
      </c>
      <c r="D713" s="3" t="str">
        <f t="shared" si="11"/>
        <v>女</v>
      </c>
      <c r="E713" s="3" t="str">
        <f>"1994-06-24"</f>
        <v>1994-06-24</v>
      </c>
    </row>
    <row r="714" spans="1:5" s="4" customFormat="1" ht="18" customHeight="1">
      <c r="A714" s="3" t="str">
        <f>"21342019072822052796055"</f>
        <v>21342019072822052796055</v>
      </c>
      <c r="B714" s="3" t="s">
        <v>6</v>
      </c>
      <c r="C714" s="3" t="str">
        <f>"谭小琦"</f>
        <v>谭小琦</v>
      </c>
      <c r="D714" s="3" t="str">
        <f t="shared" si="11"/>
        <v>女</v>
      </c>
      <c r="E714" s="3" t="str">
        <f>"1998-01-15"</f>
        <v>1998-01-15</v>
      </c>
    </row>
    <row r="715" spans="1:5" s="4" customFormat="1" ht="18" customHeight="1">
      <c r="A715" s="3" t="str">
        <f>"21342019072822151496059"</f>
        <v>21342019072822151496059</v>
      </c>
      <c r="B715" s="3" t="s">
        <v>6</v>
      </c>
      <c r="C715" s="3" t="str">
        <f>"余玲玲"</f>
        <v>余玲玲</v>
      </c>
      <c r="D715" s="3" t="str">
        <f t="shared" si="11"/>
        <v>女</v>
      </c>
      <c r="E715" s="3" t="str">
        <f>"1996-06-14"</f>
        <v>1996-06-14</v>
      </c>
    </row>
    <row r="716" spans="1:5" s="4" customFormat="1" ht="18" customHeight="1">
      <c r="A716" s="3" t="str">
        <f>"21342019072822154396060"</f>
        <v>21342019072822154396060</v>
      </c>
      <c r="B716" s="3" t="s">
        <v>6</v>
      </c>
      <c r="C716" s="3" t="str">
        <f>"莫小萍"</f>
        <v>莫小萍</v>
      </c>
      <c r="D716" s="3" t="str">
        <f t="shared" si="11"/>
        <v>女</v>
      </c>
      <c r="E716" s="3" t="str">
        <f>"1995-08-23"</f>
        <v>1995-08-23</v>
      </c>
    </row>
    <row r="717" spans="1:5" s="4" customFormat="1" ht="18" customHeight="1">
      <c r="A717" s="3" t="str">
        <f>"21342019072822182096061"</f>
        <v>21342019072822182096061</v>
      </c>
      <c r="B717" s="3" t="s">
        <v>6</v>
      </c>
      <c r="C717" s="3" t="str">
        <f>"符定喜"</f>
        <v>符定喜</v>
      </c>
      <c r="D717" s="3" t="str">
        <f t="shared" si="11"/>
        <v>女</v>
      </c>
      <c r="E717" s="3" t="str">
        <f>"1998-12-29"</f>
        <v>1998-12-29</v>
      </c>
    </row>
    <row r="718" spans="1:5" s="4" customFormat="1" ht="18" customHeight="1">
      <c r="A718" s="3" t="str">
        <f>"21342019072822184296062"</f>
        <v>21342019072822184296062</v>
      </c>
      <c r="B718" s="3" t="s">
        <v>6</v>
      </c>
      <c r="C718" s="3" t="str">
        <f>"张瑶瑶"</f>
        <v>张瑶瑶</v>
      </c>
      <c r="D718" s="3" t="str">
        <f t="shared" si="11"/>
        <v>女</v>
      </c>
      <c r="E718" s="3" t="str">
        <f>"1996-12-13"</f>
        <v>1996-12-13</v>
      </c>
    </row>
    <row r="719" spans="1:5" s="4" customFormat="1" ht="18" customHeight="1">
      <c r="A719" s="3" t="str">
        <f>"21342019072822215196063"</f>
        <v>21342019072822215196063</v>
      </c>
      <c r="B719" s="3" t="s">
        <v>6</v>
      </c>
      <c r="C719" s="3" t="str">
        <f>"马宇英"</f>
        <v>马宇英</v>
      </c>
      <c r="D719" s="3" t="str">
        <f t="shared" si="11"/>
        <v>女</v>
      </c>
      <c r="E719" s="3" t="str">
        <f>"1992-10-13"</f>
        <v>1992-10-13</v>
      </c>
    </row>
    <row r="720" spans="1:5" s="4" customFormat="1" ht="18" customHeight="1">
      <c r="A720" s="3" t="str">
        <f>"21342019072822221496065"</f>
        <v>21342019072822221496065</v>
      </c>
      <c r="B720" s="3" t="s">
        <v>6</v>
      </c>
      <c r="C720" s="3" t="str">
        <f>"黎爱女"</f>
        <v>黎爱女</v>
      </c>
      <c r="D720" s="3" t="str">
        <f t="shared" si="11"/>
        <v>女</v>
      </c>
      <c r="E720" s="3" t="str">
        <f>"1996-06-14"</f>
        <v>1996-06-14</v>
      </c>
    </row>
    <row r="721" spans="1:5" s="4" customFormat="1" ht="18" customHeight="1">
      <c r="A721" s="3" t="str">
        <f>"21342019072822241396066"</f>
        <v>21342019072822241396066</v>
      </c>
      <c r="B721" s="3" t="s">
        <v>6</v>
      </c>
      <c r="C721" s="3" t="str">
        <f>"蔡二女"</f>
        <v>蔡二女</v>
      </c>
      <c r="D721" s="3" t="str">
        <f t="shared" si="11"/>
        <v>女</v>
      </c>
      <c r="E721" s="3" t="str">
        <f>"1994-02-10"</f>
        <v>1994-02-10</v>
      </c>
    </row>
    <row r="722" spans="1:5" s="4" customFormat="1" ht="18" customHeight="1">
      <c r="A722" s="3" t="str">
        <f>"21342019072822273896070"</f>
        <v>21342019072822273896070</v>
      </c>
      <c r="B722" s="3" t="s">
        <v>6</v>
      </c>
      <c r="C722" s="3" t="str">
        <f>"韩启玲"</f>
        <v>韩启玲</v>
      </c>
      <c r="D722" s="3" t="str">
        <f t="shared" si="11"/>
        <v>女</v>
      </c>
      <c r="E722" s="3" t="str">
        <f>"1995-12-12"</f>
        <v>1995-12-12</v>
      </c>
    </row>
    <row r="723" spans="1:5" s="4" customFormat="1" ht="18" customHeight="1">
      <c r="A723" s="3" t="str">
        <f>"21342019072822293196072"</f>
        <v>21342019072822293196072</v>
      </c>
      <c r="B723" s="3" t="s">
        <v>6</v>
      </c>
      <c r="C723" s="3" t="str">
        <f>"王小慧"</f>
        <v>王小慧</v>
      </c>
      <c r="D723" s="3" t="str">
        <f aca="true" t="shared" si="12" ref="D723:D786">"女"</f>
        <v>女</v>
      </c>
      <c r="E723" s="3" t="str">
        <f>"1997-10-02"</f>
        <v>1997-10-02</v>
      </c>
    </row>
    <row r="724" spans="1:5" s="4" customFormat="1" ht="18" customHeight="1">
      <c r="A724" s="3" t="str">
        <f>"21342019072822302696073"</f>
        <v>21342019072822302696073</v>
      </c>
      <c r="B724" s="3" t="s">
        <v>6</v>
      </c>
      <c r="C724" s="3" t="str">
        <f>"林妙柔"</f>
        <v>林妙柔</v>
      </c>
      <c r="D724" s="3" t="str">
        <f t="shared" si="12"/>
        <v>女</v>
      </c>
      <c r="E724" s="3" t="str">
        <f>"1997-03-24"</f>
        <v>1997-03-24</v>
      </c>
    </row>
    <row r="725" spans="1:5" s="4" customFormat="1" ht="18" customHeight="1">
      <c r="A725" s="3" t="str">
        <f>"21342019072822364896076"</f>
        <v>21342019072822364896076</v>
      </c>
      <c r="B725" s="3" t="s">
        <v>6</v>
      </c>
      <c r="C725" s="3" t="str">
        <f>"邓欢婷"</f>
        <v>邓欢婷</v>
      </c>
      <c r="D725" s="3" t="str">
        <f t="shared" si="12"/>
        <v>女</v>
      </c>
      <c r="E725" s="3" t="str">
        <f>"1998-03-09"</f>
        <v>1998-03-09</v>
      </c>
    </row>
    <row r="726" spans="1:5" s="4" customFormat="1" ht="18" customHeight="1">
      <c r="A726" s="3" t="str">
        <f>"21342019072822380896077"</f>
        <v>21342019072822380896077</v>
      </c>
      <c r="B726" s="3" t="s">
        <v>6</v>
      </c>
      <c r="C726" s="3" t="str">
        <f>"卢丽婷"</f>
        <v>卢丽婷</v>
      </c>
      <c r="D726" s="3" t="str">
        <f t="shared" si="12"/>
        <v>女</v>
      </c>
      <c r="E726" s="3" t="str">
        <f>"1995-04-15"</f>
        <v>1995-04-15</v>
      </c>
    </row>
    <row r="727" spans="1:5" s="4" customFormat="1" ht="18" customHeight="1">
      <c r="A727" s="3" t="str">
        <f>"21342019072822383996078"</f>
        <v>21342019072822383996078</v>
      </c>
      <c r="B727" s="3" t="s">
        <v>6</v>
      </c>
      <c r="C727" s="3" t="str">
        <f>"许兰茶"</f>
        <v>许兰茶</v>
      </c>
      <c r="D727" s="3" t="str">
        <f t="shared" si="12"/>
        <v>女</v>
      </c>
      <c r="E727" s="3" t="str">
        <f>"1990-10-09"</f>
        <v>1990-10-09</v>
      </c>
    </row>
    <row r="728" spans="1:5" s="4" customFormat="1" ht="18" customHeight="1">
      <c r="A728" s="3" t="str">
        <f>"21342019072822435696080"</f>
        <v>21342019072822435696080</v>
      </c>
      <c r="B728" s="3" t="s">
        <v>6</v>
      </c>
      <c r="C728" s="3" t="str">
        <f>"余少欢"</f>
        <v>余少欢</v>
      </c>
      <c r="D728" s="3" t="str">
        <f t="shared" si="12"/>
        <v>女</v>
      </c>
      <c r="E728" s="3" t="str">
        <f>"1996-02-29"</f>
        <v>1996-02-29</v>
      </c>
    </row>
    <row r="729" spans="1:5" s="4" customFormat="1" ht="18" customHeight="1">
      <c r="A729" s="3" t="str">
        <f>"21342019072822473196082"</f>
        <v>21342019072822473196082</v>
      </c>
      <c r="B729" s="3" t="s">
        <v>6</v>
      </c>
      <c r="C729" s="3" t="str">
        <f>"林小环"</f>
        <v>林小环</v>
      </c>
      <c r="D729" s="3" t="str">
        <f t="shared" si="12"/>
        <v>女</v>
      </c>
      <c r="E729" s="3" t="str">
        <f>"1991-03-04"</f>
        <v>1991-03-04</v>
      </c>
    </row>
    <row r="730" spans="1:5" s="4" customFormat="1" ht="18" customHeight="1">
      <c r="A730" s="3" t="str">
        <f>"21342019072822511696084"</f>
        <v>21342019072822511696084</v>
      </c>
      <c r="B730" s="3" t="s">
        <v>6</v>
      </c>
      <c r="C730" s="3" t="str">
        <f>"王小蝶"</f>
        <v>王小蝶</v>
      </c>
      <c r="D730" s="3" t="str">
        <f t="shared" si="12"/>
        <v>女</v>
      </c>
      <c r="E730" s="3" t="str">
        <f>"1994-10-04"</f>
        <v>1994-10-04</v>
      </c>
    </row>
    <row r="731" spans="1:5" s="4" customFormat="1" ht="18" customHeight="1">
      <c r="A731" s="3" t="str">
        <f>"21342019072822514196085"</f>
        <v>21342019072822514196085</v>
      </c>
      <c r="B731" s="3" t="s">
        <v>6</v>
      </c>
      <c r="C731" s="3" t="str">
        <f>"吕秀妹"</f>
        <v>吕秀妹</v>
      </c>
      <c r="D731" s="3" t="str">
        <f t="shared" si="12"/>
        <v>女</v>
      </c>
      <c r="E731" s="3" t="str">
        <f>"1993-08-17"</f>
        <v>1993-08-17</v>
      </c>
    </row>
    <row r="732" spans="1:5" s="4" customFormat="1" ht="18" customHeight="1">
      <c r="A732" s="3" t="str">
        <f>"21342019072822525296086"</f>
        <v>21342019072822525296086</v>
      </c>
      <c r="B732" s="3" t="s">
        <v>6</v>
      </c>
      <c r="C732" s="3" t="str">
        <f>"符万霞"</f>
        <v>符万霞</v>
      </c>
      <c r="D732" s="3" t="str">
        <f t="shared" si="12"/>
        <v>女</v>
      </c>
      <c r="E732" s="3" t="str">
        <f>"1994-06-22"</f>
        <v>1994-06-22</v>
      </c>
    </row>
    <row r="733" spans="1:5" s="4" customFormat="1" ht="18" customHeight="1">
      <c r="A733" s="3" t="str">
        <f>"21342019072822582596088"</f>
        <v>21342019072822582596088</v>
      </c>
      <c r="B733" s="3" t="s">
        <v>6</v>
      </c>
      <c r="C733" s="3" t="str">
        <f>"曾秀娥"</f>
        <v>曾秀娥</v>
      </c>
      <c r="D733" s="3" t="str">
        <f t="shared" si="12"/>
        <v>女</v>
      </c>
      <c r="E733" s="3" t="str">
        <f>"1994-12-20"</f>
        <v>1994-12-20</v>
      </c>
    </row>
    <row r="734" spans="1:5" s="4" customFormat="1" ht="18" customHeight="1">
      <c r="A734" s="3" t="str">
        <f>"21342019072823044396090"</f>
        <v>21342019072823044396090</v>
      </c>
      <c r="B734" s="3" t="s">
        <v>6</v>
      </c>
      <c r="C734" s="3" t="str">
        <f>"翁玉环"</f>
        <v>翁玉环</v>
      </c>
      <c r="D734" s="3" t="str">
        <f t="shared" si="12"/>
        <v>女</v>
      </c>
      <c r="E734" s="3" t="str">
        <f>"1995-01-11"</f>
        <v>1995-01-11</v>
      </c>
    </row>
    <row r="735" spans="1:5" s="4" customFormat="1" ht="18" customHeight="1">
      <c r="A735" s="3" t="str">
        <f>"21342019072823060296091"</f>
        <v>21342019072823060296091</v>
      </c>
      <c r="B735" s="3" t="s">
        <v>6</v>
      </c>
      <c r="C735" s="3" t="str">
        <f>"陈春燕"</f>
        <v>陈春燕</v>
      </c>
      <c r="D735" s="3" t="str">
        <f t="shared" si="12"/>
        <v>女</v>
      </c>
      <c r="E735" s="3" t="str">
        <f>"1994-11-15"</f>
        <v>1994-11-15</v>
      </c>
    </row>
    <row r="736" spans="1:5" s="4" customFormat="1" ht="18" customHeight="1">
      <c r="A736" s="3" t="str">
        <f>"21342019072823091796093"</f>
        <v>21342019072823091796093</v>
      </c>
      <c r="B736" s="3" t="s">
        <v>6</v>
      </c>
      <c r="C736" s="3" t="str">
        <f>"黄柳夕"</f>
        <v>黄柳夕</v>
      </c>
      <c r="D736" s="3" t="str">
        <f t="shared" si="12"/>
        <v>女</v>
      </c>
      <c r="E736" s="3" t="str">
        <f>"1996-05-08"</f>
        <v>1996-05-08</v>
      </c>
    </row>
    <row r="737" spans="1:5" s="4" customFormat="1" ht="18" customHeight="1">
      <c r="A737" s="3" t="str">
        <f>"21342019072823114196095"</f>
        <v>21342019072823114196095</v>
      </c>
      <c r="B737" s="3" t="s">
        <v>6</v>
      </c>
      <c r="C737" s="3" t="str">
        <f>"郭石晶"</f>
        <v>郭石晶</v>
      </c>
      <c r="D737" s="3" t="str">
        <f t="shared" si="12"/>
        <v>女</v>
      </c>
      <c r="E737" s="3" t="str">
        <f>"1996-03-20"</f>
        <v>1996-03-20</v>
      </c>
    </row>
    <row r="738" spans="1:5" s="4" customFormat="1" ht="18" customHeight="1">
      <c r="A738" s="3" t="str">
        <f>"21342019072823274496099"</f>
        <v>21342019072823274496099</v>
      </c>
      <c r="B738" s="3" t="s">
        <v>6</v>
      </c>
      <c r="C738" s="3" t="str">
        <f>"林亚玲"</f>
        <v>林亚玲</v>
      </c>
      <c r="D738" s="3" t="str">
        <f t="shared" si="12"/>
        <v>女</v>
      </c>
      <c r="E738" s="3" t="str">
        <f>"1989-12-30"</f>
        <v>1989-12-30</v>
      </c>
    </row>
    <row r="739" spans="1:5" s="4" customFormat="1" ht="18" customHeight="1">
      <c r="A739" s="3" t="str">
        <f>"21342019072823291996100"</f>
        <v>21342019072823291996100</v>
      </c>
      <c r="B739" s="3" t="s">
        <v>6</v>
      </c>
      <c r="C739" s="3" t="str">
        <f>"王怡佳"</f>
        <v>王怡佳</v>
      </c>
      <c r="D739" s="3" t="str">
        <f t="shared" si="12"/>
        <v>女</v>
      </c>
      <c r="E739" s="3" t="str">
        <f>"1994-12-18"</f>
        <v>1994-12-18</v>
      </c>
    </row>
    <row r="740" spans="1:5" s="4" customFormat="1" ht="18" customHeight="1">
      <c r="A740" s="3" t="str">
        <f>"21342019072823304396102"</f>
        <v>21342019072823304396102</v>
      </c>
      <c r="B740" s="3" t="s">
        <v>6</v>
      </c>
      <c r="C740" s="3" t="str">
        <f>"方裕"</f>
        <v>方裕</v>
      </c>
      <c r="D740" s="3" t="str">
        <f t="shared" si="12"/>
        <v>女</v>
      </c>
      <c r="E740" s="3" t="str">
        <f>"1995-08-26"</f>
        <v>1995-08-26</v>
      </c>
    </row>
    <row r="741" spans="1:5" s="4" customFormat="1" ht="18" customHeight="1">
      <c r="A741" s="3" t="str">
        <f>"21342019072823324496104"</f>
        <v>21342019072823324496104</v>
      </c>
      <c r="B741" s="3" t="s">
        <v>6</v>
      </c>
      <c r="C741" s="3" t="str">
        <f>"林奇花"</f>
        <v>林奇花</v>
      </c>
      <c r="D741" s="3" t="str">
        <f t="shared" si="12"/>
        <v>女</v>
      </c>
      <c r="E741" s="3" t="str">
        <f>"1990-03-10"</f>
        <v>1990-03-10</v>
      </c>
    </row>
    <row r="742" spans="1:5" s="4" customFormat="1" ht="18" customHeight="1">
      <c r="A742" s="3" t="str">
        <f>"21342019072823352696106"</f>
        <v>21342019072823352696106</v>
      </c>
      <c r="B742" s="3" t="s">
        <v>6</v>
      </c>
      <c r="C742" s="3" t="str">
        <f>"黄雅幸"</f>
        <v>黄雅幸</v>
      </c>
      <c r="D742" s="3" t="str">
        <f t="shared" si="12"/>
        <v>女</v>
      </c>
      <c r="E742" s="3" t="str">
        <f>"1997-09-10"</f>
        <v>1997-09-10</v>
      </c>
    </row>
    <row r="743" spans="1:5" s="4" customFormat="1" ht="18" customHeight="1">
      <c r="A743" s="3" t="str">
        <f>"21342019072823385496109"</f>
        <v>21342019072823385496109</v>
      </c>
      <c r="B743" s="3" t="s">
        <v>6</v>
      </c>
      <c r="C743" s="3" t="str">
        <f>"张华丽"</f>
        <v>张华丽</v>
      </c>
      <c r="D743" s="3" t="str">
        <f t="shared" si="12"/>
        <v>女</v>
      </c>
      <c r="E743" s="3" t="str">
        <f>"1991-03-25"</f>
        <v>1991-03-25</v>
      </c>
    </row>
    <row r="744" spans="1:5" s="4" customFormat="1" ht="18" customHeight="1">
      <c r="A744" s="3" t="str">
        <f>"21342019072900024496112"</f>
        <v>21342019072900024496112</v>
      </c>
      <c r="B744" s="3" t="s">
        <v>6</v>
      </c>
      <c r="C744" s="3" t="str">
        <f>"吴金波"</f>
        <v>吴金波</v>
      </c>
      <c r="D744" s="3" t="str">
        <f t="shared" si="12"/>
        <v>女</v>
      </c>
      <c r="E744" s="3" t="str">
        <f>"1992-02-05"</f>
        <v>1992-02-05</v>
      </c>
    </row>
    <row r="745" spans="1:5" s="4" customFormat="1" ht="18" customHeight="1">
      <c r="A745" s="3" t="str">
        <f>"21342019072900034696113"</f>
        <v>21342019072900034696113</v>
      </c>
      <c r="B745" s="3" t="s">
        <v>6</v>
      </c>
      <c r="C745" s="3" t="str">
        <f>"陈仙"</f>
        <v>陈仙</v>
      </c>
      <c r="D745" s="3" t="str">
        <f t="shared" si="12"/>
        <v>女</v>
      </c>
      <c r="E745" s="3" t="str">
        <f>"1990-12-12"</f>
        <v>1990-12-12</v>
      </c>
    </row>
    <row r="746" spans="1:5" s="4" customFormat="1" ht="18" customHeight="1">
      <c r="A746" s="3" t="str">
        <f>"21342019072900105496115"</f>
        <v>21342019072900105496115</v>
      </c>
      <c r="B746" s="3" t="s">
        <v>6</v>
      </c>
      <c r="C746" s="3" t="str">
        <f>"林小慧"</f>
        <v>林小慧</v>
      </c>
      <c r="D746" s="3" t="str">
        <f t="shared" si="12"/>
        <v>女</v>
      </c>
      <c r="E746" s="3" t="str">
        <f>"1993-12-05"</f>
        <v>1993-12-05</v>
      </c>
    </row>
    <row r="747" spans="1:5" s="4" customFormat="1" ht="18" customHeight="1">
      <c r="A747" s="3" t="str">
        <f>"21342019072900191896117"</f>
        <v>21342019072900191896117</v>
      </c>
      <c r="B747" s="3" t="s">
        <v>6</v>
      </c>
      <c r="C747" s="3" t="str">
        <f>"王茹潇"</f>
        <v>王茹潇</v>
      </c>
      <c r="D747" s="3" t="str">
        <f t="shared" si="12"/>
        <v>女</v>
      </c>
      <c r="E747" s="3" t="str">
        <f>"1999-05-31"</f>
        <v>1999-05-31</v>
      </c>
    </row>
    <row r="748" spans="1:5" s="4" customFormat="1" ht="18" customHeight="1">
      <c r="A748" s="3" t="str">
        <f>"21342019072900303796118"</f>
        <v>21342019072900303796118</v>
      </c>
      <c r="B748" s="3" t="s">
        <v>6</v>
      </c>
      <c r="C748" s="3" t="str">
        <f>"李华韵"</f>
        <v>李华韵</v>
      </c>
      <c r="D748" s="3" t="str">
        <f t="shared" si="12"/>
        <v>女</v>
      </c>
      <c r="E748" s="3" t="str">
        <f>"1992-09-15"</f>
        <v>1992-09-15</v>
      </c>
    </row>
    <row r="749" spans="1:5" s="4" customFormat="1" ht="18" customHeight="1">
      <c r="A749" s="3" t="str">
        <f>"21342019072900460596119"</f>
        <v>21342019072900460596119</v>
      </c>
      <c r="B749" s="3" t="s">
        <v>6</v>
      </c>
      <c r="C749" s="3" t="str">
        <f>"王巧 "</f>
        <v>王巧 </v>
      </c>
      <c r="D749" s="3" t="str">
        <f t="shared" si="12"/>
        <v>女</v>
      </c>
      <c r="E749" s="3" t="str">
        <f>"1995-09-26"</f>
        <v>1995-09-26</v>
      </c>
    </row>
    <row r="750" spans="1:5" s="4" customFormat="1" ht="18" customHeight="1">
      <c r="A750" s="3" t="str">
        <f>"21342019072900512096121"</f>
        <v>21342019072900512096121</v>
      </c>
      <c r="B750" s="3" t="s">
        <v>6</v>
      </c>
      <c r="C750" s="3" t="str">
        <f>"梁雪玲"</f>
        <v>梁雪玲</v>
      </c>
      <c r="D750" s="3" t="str">
        <f t="shared" si="12"/>
        <v>女</v>
      </c>
      <c r="E750" s="3" t="str">
        <f>"1994-09-23"</f>
        <v>1994-09-23</v>
      </c>
    </row>
    <row r="751" spans="1:5" s="4" customFormat="1" ht="18" customHeight="1">
      <c r="A751" s="3" t="str">
        <f>"21342019072900515996122"</f>
        <v>21342019072900515996122</v>
      </c>
      <c r="B751" s="3" t="s">
        <v>6</v>
      </c>
      <c r="C751" s="3" t="str">
        <f>"李萍"</f>
        <v>李萍</v>
      </c>
      <c r="D751" s="3" t="str">
        <f t="shared" si="12"/>
        <v>女</v>
      </c>
      <c r="E751" s="3" t="str">
        <f>"1997-11-14"</f>
        <v>1997-11-14</v>
      </c>
    </row>
    <row r="752" spans="1:5" s="4" customFormat="1" ht="18" customHeight="1">
      <c r="A752" s="3" t="str">
        <f>"21342019072907384796132"</f>
        <v>21342019072907384796132</v>
      </c>
      <c r="B752" s="3" t="s">
        <v>6</v>
      </c>
      <c r="C752" s="3" t="str">
        <f>"王青四"</f>
        <v>王青四</v>
      </c>
      <c r="D752" s="3" t="str">
        <f t="shared" si="12"/>
        <v>女</v>
      </c>
      <c r="E752" s="3" t="str">
        <f>"1990-07-30"</f>
        <v>1990-07-30</v>
      </c>
    </row>
    <row r="753" spans="1:5" s="4" customFormat="1" ht="18" customHeight="1">
      <c r="A753" s="3" t="str">
        <f>"21342019072908002796136"</f>
        <v>21342019072908002796136</v>
      </c>
      <c r="B753" s="3" t="s">
        <v>6</v>
      </c>
      <c r="C753" s="3" t="str">
        <f>"韩笛"</f>
        <v>韩笛</v>
      </c>
      <c r="D753" s="3" t="str">
        <f t="shared" si="12"/>
        <v>女</v>
      </c>
      <c r="E753" s="3" t="str">
        <f>"1990-01-31"</f>
        <v>1990-01-31</v>
      </c>
    </row>
    <row r="754" spans="1:5" s="4" customFormat="1" ht="18" customHeight="1">
      <c r="A754" s="3" t="str">
        <f>"21342019072908113096137"</f>
        <v>21342019072908113096137</v>
      </c>
      <c r="B754" s="3" t="s">
        <v>6</v>
      </c>
      <c r="C754" s="3" t="str">
        <f>"刘东尧"</f>
        <v>刘东尧</v>
      </c>
      <c r="D754" s="3" t="str">
        <f t="shared" si="12"/>
        <v>女</v>
      </c>
      <c r="E754" s="3" t="str">
        <f>"1991-01-13"</f>
        <v>1991-01-13</v>
      </c>
    </row>
    <row r="755" spans="1:5" s="4" customFormat="1" ht="18" customHeight="1">
      <c r="A755" s="3" t="str">
        <f>"21342019072908252596142"</f>
        <v>21342019072908252596142</v>
      </c>
      <c r="B755" s="3" t="s">
        <v>6</v>
      </c>
      <c r="C755" s="3" t="str">
        <f>"李小磊"</f>
        <v>李小磊</v>
      </c>
      <c r="D755" s="3" t="str">
        <f t="shared" si="12"/>
        <v>女</v>
      </c>
      <c r="E755" s="3" t="str">
        <f>"1989-09-20"</f>
        <v>1989-09-20</v>
      </c>
    </row>
    <row r="756" spans="1:5" s="4" customFormat="1" ht="18" customHeight="1">
      <c r="A756" s="3" t="str">
        <f>"21342019072908384796150"</f>
        <v>21342019072908384796150</v>
      </c>
      <c r="B756" s="3" t="s">
        <v>6</v>
      </c>
      <c r="C756" s="3" t="str">
        <f>"陈五英"</f>
        <v>陈五英</v>
      </c>
      <c r="D756" s="3" t="str">
        <f t="shared" si="12"/>
        <v>女</v>
      </c>
      <c r="E756" s="3" t="str">
        <f>"1992-04-30"</f>
        <v>1992-04-30</v>
      </c>
    </row>
    <row r="757" spans="1:5" s="4" customFormat="1" ht="18" customHeight="1">
      <c r="A757" s="3" t="str">
        <f>"21342019072908405696151"</f>
        <v>21342019072908405696151</v>
      </c>
      <c r="B757" s="3" t="s">
        <v>6</v>
      </c>
      <c r="C757" s="3" t="str">
        <f>"沈三妹"</f>
        <v>沈三妹</v>
      </c>
      <c r="D757" s="3" t="str">
        <f t="shared" si="12"/>
        <v>女</v>
      </c>
      <c r="E757" s="3" t="str">
        <f>"1995-01-20"</f>
        <v>1995-01-20</v>
      </c>
    </row>
    <row r="758" spans="1:5" s="4" customFormat="1" ht="18" customHeight="1">
      <c r="A758" s="3" t="str">
        <f>"21342019072908442196154"</f>
        <v>21342019072908442196154</v>
      </c>
      <c r="B758" s="3" t="s">
        <v>6</v>
      </c>
      <c r="C758" s="3" t="str">
        <f>"章方"</f>
        <v>章方</v>
      </c>
      <c r="D758" s="3" t="str">
        <f t="shared" si="12"/>
        <v>女</v>
      </c>
      <c r="E758" s="3" t="str">
        <f>"1991-10-15"</f>
        <v>1991-10-15</v>
      </c>
    </row>
    <row r="759" spans="1:5" s="4" customFormat="1" ht="18" customHeight="1">
      <c r="A759" s="3" t="str">
        <f>"21342019072908485396158"</f>
        <v>21342019072908485396158</v>
      </c>
      <c r="B759" s="3" t="s">
        <v>6</v>
      </c>
      <c r="C759" s="3" t="str">
        <f>"钟丽媚"</f>
        <v>钟丽媚</v>
      </c>
      <c r="D759" s="3" t="str">
        <f t="shared" si="12"/>
        <v>女</v>
      </c>
      <c r="E759" s="3" t="str">
        <f>"1992-12-15"</f>
        <v>1992-12-15</v>
      </c>
    </row>
    <row r="760" spans="1:5" s="4" customFormat="1" ht="18" customHeight="1">
      <c r="A760" s="3" t="str">
        <f>"21342019072908495596159"</f>
        <v>21342019072908495596159</v>
      </c>
      <c r="B760" s="3" t="s">
        <v>6</v>
      </c>
      <c r="C760" s="3" t="str">
        <f>"符雅君"</f>
        <v>符雅君</v>
      </c>
      <c r="D760" s="3" t="str">
        <f t="shared" si="12"/>
        <v>女</v>
      </c>
      <c r="E760" s="3" t="str">
        <f>"1992-05-21"</f>
        <v>1992-05-21</v>
      </c>
    </row>
    <row r="761" spans="1:5" s="4" customFormat="1" ht="18" customHeight="1">
      <c r="A761" s="3" t="str">
        <f>"21342019072908530696162"</f>
        <v>21342019072908530696162</v>
      </c>
      <c r="B761" s="3" t="s">
        <v>6</v>
      </c>
      <c r="C761" s="3" t="str">
        <f>"王晓凤"</f>
        <v>王晓凤</v>
      </c>
      <c r="D761" s="3" t="str">
        <f t="shared" si="12"/>
        <v>女</v>
      </c>
      <c r="E761" s="3" t="str">
        <f>"1992-12-17"</f>
        <v>1992-12-17</v>
      </c>
    </row>
    <row r="762" spans="1:5" s="4" customFormat="1" ht="18" customHeight="1">
      <c r="A762" s="3" t="str">
        <f>"21342019072909030496173"</f>
        <v>21342019072909030496173</v>
      </c>
      <c r="B762" s="3" t="s">
        <v>6</v>
      </c>
      <c r="C762" s="3" t="str">
        <f>"王晓惠"</f>
        <v>王晓惠</v>
      </c>
      <c r="D762" s="3" t="str">
        <f t="shared" si="12"/>
        <v>女</v>
      </c>
      <c r="E762" s="3" t="str">
        <f>"1992-07-24"</f>
        <v>1992-07-24</v>
      </c>
    </row>
    <row r="763" spans="1:5" s="4" customFormat="1" ht="18" customHeight="1">
      <c r="A763" s="3" t="str">
        <f>"21342019072909100796175"</f>
        <v>21342019072909100796175</v>
      </c>
      <c r="B763" s="3" t="s">
        <v>6</v>
      </c>
      <c r="C763" s="3" t="str">
        <f>"王潇"</f>
        <v>王潇</v>
      </c>
      <c r="D763" s="3" t="str">
        <f t="shared" si="12"/>
        <v>女</v>
      </c>
      <c r="E763" s="3" t="str">
        <f>"1994-09-09"</f>
        <v>1994-09-09</v>
      </c>
    </row>
    <row r="764" spans="1:5" s="4" customFormat="1" ht="18" customHeight="1">
      <c r="A764" s="3" t="str">
        <f>"21342019072909114896176"</f>
        <v>21342019072909114896176</v>
      </c>
      <c r="B764" s="3" t="s">
        <v>6</v>
      </c>
      <c r="C764" s="3" t="str">
        <f>"陈玉"</f>
        <v>陈玉</v>
      </c>
      <c r="D764" s="3" t="str">
        <f t="shared" si="12"/>
        <v>女</v>
      </c>
      <c r="E764" s="3" t="str">
        <f>"1995-03-15"</f>
        <v>1995-03-15</v>
      </c>
    </row>
    <row r="765" spans="1:5" s="4" customFormat="1" ht="18" customHeight="1">
      <c r="A765" s="3" t="str">
        <f>"21342019072909225696184"</f>
        <v>21342019072909225696184</v>
      </c>
      <c r="B765" s="3" t="s">
        <v>6</v>
      </c>
      <c r="C765" s="3" t="str">
        <f>"郭荣兰"</f>
        <v>郭荣兰</v>
      </c>
      <c r="D765" s="3" t="str">
        <f t="shared" si="12"/>
        <v>女</v>
      </c>
      <c r="E765" s="3" t="str">
        <f>"1994-07-09"</f>
        <v>1994-07-09</v>
      </c>
    </row>
    <row r="766" spans="1:5" s="4" customFormat="1" ht="18" customHeight="1">
      <c r="A766" s="3" t="str">
        <f>"21342019072909232096185"</f>
        <v>21342019072909232096185</v>
      </c>
      <c r="B766" s="3" t="s">
        <v>6</v>
      </c>
      <c r="C766" s="3" t="str">
        <f>"韦小方"</f>
        <v>韦小方</v>
      </c>
      <c r="D766" s="3" t="str">
        <f t="shared" si="12"/>
        <v>女</v>
      </c>
      <c r="E766" s="3" t="str">
        <f>"1997-06-07"</f>
        <v>1997-06-07</v>
      </c>
    </row>
    <row r="767" spans="1:5" s="4" customFormat="1" ht="18" customHeight="1">
      <c r="A767" s="3" t="str">
        <f>"21342019072909272696187"</f>
        <v>21342019072909272696187</v>
      </c>
      <c r="B767" s="3" t="s">
        <v>6</v>
      </c>
      <c r="C767" s="3" t="str">
        <f>"梁蝶"</f>
        <v>梁蝶</v>
      </c>
      <c r="D767" s="3" t="str">
        <f t="shared" si="12"/>
        <v>女</v>
      </c>
      <c r="E767" s="3" t="str">
        <f>"1992-06-08"</f>
        <v>1992-06-08</v>
      </c>
    </row>
    <row r="768" spans="1:5" s="4" customFormat="1" ht="18" customHeight="1">
      <c r="A768" s="3" t="str">
        <f>"21342019072909303596188"</f>
        <v>21342019072909303596188</v>
      </c>
      <c r="B768" s="3" t="s">
        <v>6</v>
      </c>
      <c r="C768" s="3" t="str">
        <f>"蔡亚会"</f>
        <v>蔡亚会</v>
      </c>
      <c r="D768" s="3" t="str">
        <f t="shared" si="12"/>
        <v>女</v>
      </c>
      <c r="E768" s="3" t="str">
        <f>"1996-09-23"</f>
        <v>1996-09-23</v>
      </c>
    </row>
    <row r="769" spans="1:5" s="4" customFormat="1" ht="18" customHeight="1">
      <c r="A769" s="3" t="str">
        <f>"21342019072909310896190"</f>
        <v>21342019072909310896190</v>
      </c>
      <c r="B769" s="3" t="s">
        <v>6</v>
      </c>
      <c r="C769" s="3" t="str">
        <f>"张春米"</f>
        <v>张春米</v>
      </c>
      <c r="D769" s="3" t="str">
        <f t="shared" si="12"/>
        <v>女</v>
      </c>
      <c r="E769" s="3" t="str">
        <f>"1995-06-25"</f>
        <v>1995-06-25</v>
      </c>
    </row>
    <row r="770" spans="1:5" s="4" customFormat="1" ht="18" customHeight="1">
      <c r="A770" s="3" t="str">
        <f>"21342019072909314196192"</f>
        <v>21342019072909314196192</v>
      </c>
      <c r="B770" s="3" t="s">
        <v>6</v>
      </c>
      <c r="C770" s="3" t="str">
        <f>"符少丹"</f>
        <v>符少丹</v>
      </c>
      <c r="D770" s="3" t="str">
        <f t="shared" si="12"/>
        <v>女</v>
      </c>
      <c r="E770" s="3" t="str">
        <f>"1995-10-11"</f>
        <v>1995-10-11</v>
      </c>
    </row>
    <row r="771" spans="1:5" s="4" customFormat="1" ht="18" customHeight="1">
      <c r="A771" s="3" t="str">
        <f>"21342019072909322596194"</f>
        <v>21342019072909322596194</v>
      </c>
      <c r="B771" s="3" t="s">
        <v>6</v>
      </c>
      <c r="C771" s="3" t="str">
        <f>"陈风妹"</f>
        <v>陈风妹</v>
      </c>
      <c r="D771" s="3" t="str">
        <f t="shared" si="12"/>
        <v>女</v>
      </c>
      <c r="E771" s="3" t="str">
        <f>"1998-11-07"</f>
        <v>1998-11-07</v>
      </c>
    </row>
    <row r="772" spans="1:5" s="4" customFormat="1" ht="18" customHeight="1">
      <c r="A772" s="3" t="str">
        <f>"21342019072909420696206"</f>
        <v>21342019072909420696206</v>
      </c>
      <c r="B772" s="3" t="s">
        <v>6</v>
      </c>
      <c r="C772" s="3" t="str">
        <f>"林先玉"</f>
        <v>林先玉</v>
      </c>
      <c r="D772" s="3" t="str">
        <f t="shared" si="12"/>
        <v>女</v>
      </c>
      <c r="E772" s="3" t="str">
        <f>"1990-03-09"</f>
        <v>1990-03-09</v>
      </c>
    </row>
    <row r="773" spans="1:5" s="4" customFormat="1" ht="18" customHeight="1">
      <c r="A773" s="3" t="str">
        <f>"21342019072909464696208"</f>
        <v>21342019072909464696208</v>
      </c>
      <c r="B773" s="3" t="s">
        <v>6</v>
      </c>
      <c r="C773" s="3" t="str">
        <f>"李力莉"</f>
        <v>李力莉</v>
      </c>
      <c r="D773" s="3" t="str">
        <f t="shared" si="12"/>
        <v>女</v>
      </c>
      <c r="E773" s="3" t="str">
        <f>"1995-09-12"</f>
        <v>1995-09-12</v>
      </c>
    </row>
    <row r="774" spans="1:5" s="4" customFormat="1" ht="18" customHeight="1">
      <c r="A774" s="3" t="str">
        <f>"21342019072909473896209"</f>
        <v>21342019072909473896209</v>
      </c>
      <c r="B774" s="3" t="s">
        <v>6</v>
      </c>
      <c r="C774" s="3" t="str">
        <f>"陈紫妍"</f>
        <v>陈紫妍</v>
      </c>
      <c r="D774" s="3" t="str">
        <f t="shared" si="12"/>
        <v>女</v>
      </c>
      <c r="E774" s="3" t="str">
        <f>"1998-08-21"</f>
        <v>1998-08-21</v>
      </c>
    </row>
    <row r="775" spans="1:5" s="4" customFormat="1" ht="18" customHeight="1">
      <c r="A775" s="3" t="str">
        <f>"21342019072909521096211"</f>
        <v>21342019072909521096211</v>
      </c>
      <c r="B775" s="3" t="s">
        <v>6</v>
      </c>
      <c r="C775" s="3" t="str">
        <f>"何海珊"</f>
        <v>何海珊</v>
      </c>
      <c r="D775" s="3" t="str">
        <f t="shared" si="12"/>
        <v>女</v>
      </c>
      <c r="E775" s="3" t="str">
        <f>"1991-05-06"</f>
        <v>1991-05-06</v>
      </c>
    </row>
    <row r="776" spans="1:5" s="4" customFormat="1" ht="18" customHeight="1">
      <c r="A776" s="3" t="str">
        <f>"21342019072909521496212"</f>
        <v>21342019072909521496212</v>
      </c>
      <c r="B776" s="3" t="s">
        <v>6</v>
      </c>
      <c r="C776" s="3" t="str">
        <f>"王棉"</f>
        <v>王棉</v>
      </c>
      <c r="D776" s="3" t="str">
        <f t="shared" si="12"/>
        <v>女</v>
      </c>
      <c r="E776" s="3" t="str">
        <f>"1994-09-16"</f>
        <v>1994-09-16</v>
      </c>
    </row>
    <row r="777" spans="1:5" s="4" customFormat="1" ht="18" customHeight="1">
      <c r="A777" s="3" t="str">
        <f>"21342019072910021396220"</f>
        <v>21342019072910021396220</v>
      </c>
      <c r="B777" s="3" t="s">
        <v>6</v>
      </c>
      <c r="C777" s="3" t="str">
        <f>"吴锦"</f>
        <v>吴锦</v>
      </c>
      <c r="D777" s="3" t="str">
        <f t="shared" si="12"/>
        <v>女</v>
      </c>
      <c r="E777" s="3" t="str">
        <f>"1994-11-07"</f>
        <v>1994-11-07</v>
      </c>
    </row>
    <row r="778" spans="1:5" s="4" customFormat="1" ht="18" customHeight="1">
      <c r="A778" s="3" t="str">
        <f>"21342019072910055196222"</f>
        <v>21342019072910055196222</v>
      </c>
      <c r="B778" s="3" t="s">
        <v>6</v>
      </c>
      <c r="C778" s="3" t="str">
        <f>"韦树鑫"</f>
        <v>韦树鑫</v>
      </c>
      <c r="D778" s="3" t="str">
        <f t="shared" si="12"/>
        <v>女</v>
      </c>
      <c r="E778" s="3" t="str">
        <f>"1995-04-05"</f>
        <v>1995-04-05</v>
      </c>
    </row>
    <row r="779" spans="1:5" s="4" customFormat="1" ht="18" customHeight="1">
      <c r="A779" s="3" t="str">
        <f>"21342019072910070996225"</f>
        <v>21342019072910070996225</v>
      </c>
      <c r="B779" s="3" t="s">
        <v>6</v>
      </c>
      <c r="C779" s="3" t="str">
        <f>"黎丽交"</f>
        <v>黎丽交</v>
      </c>
      <c r="D779" s="3" t="str">
        <f t="shared" si="12"/>
        <v>女</v>
      </c>
      <c r="E779" s="3" t="str">
        <f>"1994-07-19"</f>
        <v>1994-07-19</v>
      </c>
    </row>
    <row r="780" spans="1:5" s="4" customFormat="1" ht="18" customHeight="1">
      <c r="A780" s="3" t="str">
        <f>"21342019072910095196227"</f>
        <v>21342019072910095196227</v>
      </c>
      <c r="B780" s="3" t="s">
        <v>6</v>
      </c>
      <c r="C780" s="3" t="str">
        <f>"程海英"</f>
        <v>程海英</v>
      </c>
      <c r="D780" s="3" t="str">
        <f t="shared" si="12"/>
        <v>女</v>
      </c>
      <c r="E780" s="3" t="str">
        <f>"1994-06-18"</f>
        <v>1994-06-18</v>
      </c>
    </row>
    <row r="781" spans="1:5" s="4" customFormat="1" ht="18" customHeight="1">
      <c r="A781" s="3" t="str">
        <f>"21342019072910111196228"</f>
        <v>21342019072910111196228</v>
      </c>
      <c r="B781" s="3" t="s">
        <v>6</v>
      </c>
      <c r="C781" s="3" t="str">
        <f>"韦娟"</f>
        <v>韦娟</v>
      </c>
      <c r="D781" s="3" t="str">
        <f t="shared" si="12"/>
        <v>女</v>
      </c>
      <c r="E781" s="3" t="str">
        <f>"1993-06-14"</f>
        <v>1993-06-14</v>
      </c>
    </row>
    <row r="782" spans="1:5" s="4" customFormat="1" ht="18" customHeight="1">
      <c r="A782" s="3" t="str">
        <f>"21342019072910223796234"</f>
        <v>21342019072910223796234</v>
      </c>
      <c r="B782" s="3" t="s">
        <v>6</v>
      </c>
      <c r="C782" s="3" t="str">
        <f>"卢武芸"</f>
        <v>卢武芸</v>
      </c>
      <c r="D782" s="3" t="str">
        <f t="shared" si="12"/>
        <v>女</v>
      </c>
      <c r="E782" s="3" t="str">
        <f>"1995-11-17"</f>
        <v>1995-11-17</v>
      </c>
    </row>
    <row r="783" spans="1:5" s="4" customFormat="1" ht="18" customHeight="1">
      <c r="A783" s="3" t="str">
        <f>"21342019072910250196237"</f>
        <v>21342019072910250196237</v>
      </c>
      <c r="B783" s="3" t="s">
        <v>6</v>
      </c>
      <c r="C783" s="3" t="str">
        <f>"韩娇艳"</f>
        <v>韩娇艳</v>
      </c>
      <c r="D783" s="3" t="str">
        <f t="shared" si="12"/>
        <v>女</v>
      </c>
      <c r="E783" s="3" t="str">
        <f>"1990-07-29"</f>
        <v>1990-07-29</v>
      </c>
    </row>
    <row r="784" spans="1:5" s="4" customFormat="1" ht="18" customHeight="1">
      <c r="A784" s="3" t="str">
        <f>"21342019072910365196245"</f>
        <v>21342019072910365196245</v>
      </c>
      <c r="B784" s="3" t="s">
        <v>6</v>
      </c>
      <c r="C784" s="3" t="str">
        <f>"张能玲"</f>
        <v>张能玲</v>
      </c>
      <c r="D784" s="3" t="str">
        <f t="shared" si="12"/>
        <v>女</v>
      </c>
      <c r="E784" s="3" t="str">
        <f>"1994-10-06"</f>
        <v>1994-10-06</v>
      </c>
    </row>
    <row r="785" spans="1:5" s="4" customFormat="1" ht="18" customHeight="1">
      <c r="A785" s="3" t="str">
        <f>"21342019072910383996247"</f>
        <v>21342019072910383996247</v>
      </c>
      <c r="B785" s="3" t="s">
        <v>6</v>
      </c>
      <c r="C785" s="3" t="str">
        <f>"陈玉婷"</f>
        <v>陈玉婷</v>
      </c>
      <c r="D785" s="3" t="str">
        <f t="shared" si="12"/>
        <v>女</v>
      </c>
      <c r="E785" s="3" t="str">
        <f>"1993-03-18"</f>
        <v>1993-03-18</v>
      </c>
    </row>
    <row r="786" spans="1:5" s="4" customFormat="1" ht="18" customHeight="1">
      <c r="A786" s="3" t="str">
        <f>"21342019072910395596250"</f>
        <v>21342019072910395596250</v>
      </c>
      <c r="B786" s="3" t="s">
        <v>6</v>
      </c>
      <c r="C786" s="3" t="str">
        <f>"郑莹莹"</f>
        <v>郑莹莹</v>
      </c>
      <c r="D786" s="3" t="str">
        <f t="shared" si="12"/>
        <v>女</v>
      </c>
      <c r="E786" s="3" t="str">
        <f>"1994-08-06"</f>
        <v>1994-08-06</v>
      </c>
    </row>
    <row r="787" spans="1:5" s="4" customFormat="1" ht="18" customHeight="1">
      <c r="A787" s="3" t="str">
        <f>"21342019072910412596252"</f>
        <v>21342019072910412596252</v>
      </c>
      <c r="B787" s="3" t="s">
        <v>6</v>
      </c>
      <c r="C787" s="3" t="str">
        <f>"李珍"</f>
        <v>李珍</v>
      </c>
      <c r="D787" s="3" t="str">
        <f aca="true" t="shared" si="13" ref="D787:D850">"女"</f>
        <v>女</v>
      </c>
      <c r="E787" s="3" t="str">
        <f>"1995-08-01"</f>
        <v>1995-08-01</v>
      </c>
    </row>
    <row r="788" spans="1:5" s="4" customFormat="1" ht="18" customHeight="1">
      <c r="A788" s="3" t="str">
        <f>"21342019072910421196253"</f>
        <v>21342019072910421196253</v>
      </c>
      <c r="B788" s="3" t="s">
        <v>6</v>
      </c>
      <c r="C788" s="3" t="str">
        <f>"王梦娇"</f>
        <v>王梦娇</v>
      </c>
      <c r="D788" s="3" t="str">
        <f t="shared" si="13"/>
        <v>女</v>
      </c>
      <c r="E788" s="3" t="str">
        <f>"1996-10-29"</f>
        <v>1996-10-29</v>
      </c>
    </row>
    <row r="789" spans="1:5" s="4" customFormat="1" ht="18" customHeight="1">
      <c r="A789" s="3" t="str">
        <f>"21342019072910422796254"</f>
        <v>21342019072910422796254</v>
      </c>
      <c r="B789" s="3" t="s">
        <v>6</v>
      </c>
      <c r="C789" s="3" t="str">
        <f>"庄丽敏"</f>
        <v>庄丽敏</v>
      </c>
      <c r="D789" s="3" t="str">
        <f t="shared" si="13"/>
        <v>女</v>
      </c>
      <c r="E789" s="3" t="str">
        <f>"1996-06-14"</f>
        <v>1996-06-14</v>
      </c>
    </row>
    <row r="790" spans="1:5" s="4" customFormat="1" ht="18" customHeight="1">
      <c r="A790" s="3" t="str">
        <f>"21342019072910424096255"</f>
        <v>21342019072910424096255</v>
      </c>
      <c r="B790" s="3" t="s">
        <v>6</v>
      </c>
      <c r="C790" s="3" t="str">
        <f>"杨日芳"</f>
        <v>杨日芳</v>
      </c>
      <c r="D790" s="3" t="str">
        <f t="shared" si="13"/>
        <v>女</v>
      </c>
      <c r="E790" s="3" t="str">
        <f>"1994-07-02"</f>
        <v>1994-07-02</v>
      </c>
    </row>
    <row r="791" spans="1:5" s="4" customFormat="1" ht="18" customHeight="1">
      <c r="A791" s="3" t="str">
        <f>"21342019072910431696256"</f>
        <v>21342019072910431696256</v>
      </c>
      <c r="B791" s="3" t="s">
        <v>6</v>
      </c>
      <c r="C791" s="3" t="str">
        <f>"王科艳"</f>
        <v>王科艳</v>
      </c>
      <c r="D791" s="3" t="str">
        <f t="shared" si="13"/>
        <v>女</v>
      </c>
      <c r="E791" s="3" t="str">
        <f>"1995-02-20"</f>
        <v>1995-02-20</v>
      </c>
    </row>
    <row r="792" spans="1:5" s="4" customFormat="1" ht="18" customHeight="1">
      <c r="A792" s="3" t="str">
        <f>"21342019072910452896257"</f>
        <v>21342019072910452896257</v>
      </c>
      <c r="B792" s="3" t="s">
        <v>6</v>
      </c>
      <c r="C792" s="3" t="str">
        <f>"李启花"</f>
        <v>李启花</v>
      </c>
      <c r="D792" s="3" t="str">
        <f t="shared" si="13"/>
        <v>女</v>
      </c>
      <c r="E792" s="3" t="str">
        <f>"1997-06-03"</f>
        <v>1997-06-03</v>
      </c>
    </row>
    <row r="793" spans="1:5" s="4" customFormat="1" ht="18" customHeight="1">
      <c r="A793" s="3" t="str">
        <f>"21342019072910460996258"</f>
        <v>21342019072910460996258</v>
      </c>
      <c r="B793" s="3" t="s">
        <v>6</v>
      </c>
      <c r="C793" s="3" t="str">
        <f>"蔡蔓"</f>
        <v>蔡蔓</v>
      </c>
      <c r="D793" s="3" t="str">
        <f t="shared" si="13"/>
        <v>女</v>
      </c>
      <c r="E793" s="3" t="str">
        <f>"1993-12-15"</f>
        <v>1993-12-15</v>
      </c>
    </row>
    <row r="794" spans="1:5" s="4" customFormat="1" ht="18" customHeight="1">
      <c r="A794" s="3" t="str">
        <f>"21342019072910463996260"</f>
        <v>21342019072910463996260</v>
      </c>
      <c r="B794" s="3" t="s">
        <v>6</v>
      </c>
      <c r="C794" s="3" t="str">
        <f>"陈有桃"</f>
        <v>陈有桃</v>
      </c>
      <c r="D794" s="3" t="str">
        <f t="shared" si="13"/>
        <v>女</v>
      </c>
      <c r="E794" s="3" t="str">
        <f>"1992-08-20"</f>
        <v>1992-08-20</v>
      </c>
    </row>
    <row r="795" spans="1:5" s="4" customFormat="1" ht="18" customHeight="1">
      <c r="A795" s="3" t="str">
        <f>"21342019072910513496265"</f>
        <v>21342019072910513496265</v>
      </c>
      <c r="B795" s="3" t="s">
        <v>6</v>
      </c>
      <c r="C795" s="3" t="str">
        <f>"王燕贞"</f>
        <v>王燕贞</v>
      </c>
      <c r="D795" s="3" t="str">
        <f t="shared" si="13"/>
        <v>女</v>
      </c>
      <c r="E795" s="3" t="str">
        <f>"1995-03-06"</f>
        <v>1995-03-06</v>
      </c>
    </row>
    <row r="796" spans="1:5" s="4" customFormat="1" ht="18" customHeight="1">
      <c r="A796" s="3" t="str">
        <f>"21342019072910521596266"</f>
        <v>21342019072910521596266</v>
      </c>
      <c r="B796" s="3" t="s">
        <v>6</v>
      </c>
      <c r="C796" s="3" t="str">
        <f>"冯小珍"</f>
        <v>冯小珍</v>
      </c>
      <c r="D796" s="3" t="str">
        <f t="shared" si="13"/>
        <v>女</v>
      </c>
      <c r="E796" s="3" t="str">
        <f>"1993-06-02"</f>
        <v>1993-06-02</v>
      </c>
    </row>
    <row r="797" spans="1:5" s="4" customFormat="1" ht="18" customHeight="1">
      <c r="A797" s="3" t="str">
        <f>"21342019072910553796271"</f>
        <v>21342019072910553796271</v>
      </c>
      <c r="B797" s="3" t="s">
        <v>6</v>
      </c>
      <c r="C797" s="3" t="str">
        <f>"陈土妹"</f>
        <v>陈土妹</v>
      </c>
      <c r="D797" s="3" t="str">
        <f t="shared" si="13"/>
        <v>女</v>
      </c>
      <c r="E797" s="3" t="str">
        <f>"1993-11-25"</f>
        <v>1993-11-25</v>
      </c>
    </row>
    <row r="798" spans="1:5" s="4" customFormat="1" ht="18" customHeight="1">
      <c r="A798" s="3" t="str">
        <f>"21342019072910554096272"</f>
        <v>21342019072910554096272</v>
      </c>
      <c r="B798" s="3" t="s">
        <v>6</v>
      </c>
      <c r="C798" s="3" t="str">
        <f>"邓钦瑜"</f>
        <v>邓钦瑜</v>
      </c>
      <c r="D798" s="3" t="str">
        <f t="shared" si="13"/>
        <v>女</v>
      </c>
      <c r="E798" s="3" t="str">
        <f>"1993-07-16"</f>
        <v>1993-07-16</v>
      </c>
    </row>
    <row r="799" spans="1:5" s="4" customFormat="1" ht="18" customHeight="1">
      <c r="A799" s="3" t="str">
        <f>"21342019072910591096274"</f>
        <v>21342019072910591096274</v>
      </c>
      <c r="B799" s="3" t="s">
        <v>6</v>
      </c>
      <c r="C799" s="3" t="str">
        <f>"王娴"</f>
        <v>王娴</v>
      </c>
      <c r="D799" s="3" t="str">
        <f t="shared" si="13"/>
        <v>女</v>
      </c>
      <c r="E799" s="3" t="str">
        <f>"1996-08-25"</f>
        <v>1996-08-25</v>
      </c>
    </row>
    <row r="800" spans="1:5" s="4" customFormat="1" ht="18" customHeight="1">
      <c r="A800" s="3" t="str">
        <f>"21342019072911032296278"</f>
        <v>21342019072911032296278</v>
      </c>
      <c r="B800" s="3" t="s">
        <v>6</v>
      </c>
      <c r="C800" s="3" t="str">
        <f>"蔡川霞"</f>
        <v>蔡川霞</v>
      </c>
      <c r="D800" s="3" t="str">
        <f t="shared" si="13"/>
        <v>女</v>
      </c>
      <c r="E800" s="3" t="str">
        <f>"1990-08-18"</f>
        <v>1990-08-18</v>
      </c>
    </row>
    <row r="801" spans="1:5" s="4" customFormat="1" ht="18" customHeight="1">
      <c r="A801" s="3" t="str">
        <f>"21342019072911054596280"</f>
        <v>21342019072911054596280</v>
      </c>
      <c r="B801" s="3" t="s">
        <v>6</v>
      </c>
      <c r="C801" s="3" t="str">
        <f>"羊带香"</f>
        <v>羊带香</v>
      </c>
      <c r="D801" s="3" t="str">
        <f t="shared" si="13"/>
        <v>女</v>
      </c>
      <c r="E801" s="3" t="str">
        <f>"1992-10-07"</f>
        <v>1992-10-07</v>
      </c>
    </row>
    <row r="802" spans="1:5" s="4" customFormat="1" ht="18" customHeight="1">
      <c r="A802" s="3" t="str">
        <f>"21342019072911063396281"</f>
        <v>21342019072911063396281</v>
      </c>
      <c r="B802" s="3" t="s">
        <v>6</v>
      </c>
      <c r="C802" s="3" t="str">
        <f>"李霞"</f>
        <v>李霞</v>
      </c>
      <c r="D802" s="3" t="str">
        <f t="shared" si="13"/>
        <v>女</v>
      </c>
      <c r="E802" s="3" t="str">
        <f>"1989-11-27"</f>
        <v>1989-11-27</v>
      </c>
    </row>
    <row r="803" spans="1:5" s="4" customFormat="1" ht="18" customHeight="1">
      <c r="A803" s="3" t="str">
        <f>"21342019072911125796287"</f>
        <v>21342019072911125796287</v>
      </c>
      <c r="B803" s="3" t="s">
        <v>6</v>
      </c>
      <c r="C803" s="3" t="str">
        <f>"孙淑麟"</f>
        <v>孙淑麟</v>
      </c>
      <c r="D803" s="3" t="str">
        <f t="shared" si="13"/>
        <v>女</v>
      </c>
      <c r="E803" s="3" t="str">
        <f>"1995-08-07"</f>
        <v>1995-08-07</v>
      </c>
    </row>
    <row r="804" spans="1:5" s="4" customFormat="1" ht="18" customHeight="1">
      <c r="A804" s="3" t="str">
        <f>"21342019072911142096288"</f>
        <v>21342019072911142096288</v>
      </c>
      <c r="B804" s="3" t="s">
        <v>6</v>
      </c>
      <c r="C804" s="3" t="str">
        <f>"杨莲"</f>
        <v>杨莲</v>
      </c>
      <c r="D804" s="3" t="str">
        <f t="shared" si="13"/>
        <v>女</v>
      </c>
      <c r="E804" s="3" t="str">
        <f>"1995-08-06"</f>
        <v>1995-08-06</v>
      </c>
    </row>
    <row r="805" spans="1:5" s="4" customFormat="1" ht="18" customHeight="1">
      <c r="A805" s="3" t="str">
        <f>"21342019072911160696289"</f>
        <v>21342019072911160696289</v>
      </c>
      <c r="B805" s="3" t="s">
        <v>6</v>
      </c>
      <c r="C805" s="3" t="str">
        <f>"石琼晓"</f>
        <v>石琼晓</v>
      </c>
      <c r="D805" s="3" t="str">
        <f t="shared" si="13"/>
        <v>女</v>
      </c>
      <c r="E805" s="3" t="str">
        <f>"1995-01-02"</f>
        <v>1995-01-02</v>
      </c>
    </row>
    <row r="806" spans="1:5" s="4" customFormat="1" ht="18" customHeight="1">
      <c r="A806" s="3" t="str">
        <f>"21342019072911163996290"</f>
        <v>21342019072911163996290</v>
      </c>
      <c r="B806" s="3" t="s">
        <v>6</v>
      </c>
      <c r="C806" s="3" t="str">
        <f>"陈琼敏"</f>
        <v>陈琼敏</v>
      </c>
      <c r="D806" s="3" t="str">
        <f t="shared" si="13"/>
        <v>女</v>
      </c>
      <c r="E806" s="3" t="str">
        <f>"1992-07-20"</f>
        <v>1992-07-20</v>
      </c>
    </row>
    <row r="807" spans="1:5" s="4" customFormat="1" ht="18" customHeight="1">
      <c r="A807" s="3" t="str">
        <f>"21342019072911173196292"</f>
        <v>21342019072911173196292</v>
      </c>
      <c r="B807" s="3" t="s">
        <v>6</v>
      </c>
      <c r="C807" s="3" t="str">
        <f>"刘亚片"</f>
        <v>刘亚片</v>
      </c>
      <c r="D807" s="3" t="str">
        <f t="shared" si="13"/>
        <v>女</v>
      </c>
      <c r="E807" s="3" t="str">
        <f>"1993-09-18"</f>
        <v>1993-09-18</v>
      </c>
    </row>
    <row r="808" spans="1:5" s="4" customFormat="1" ht="18" customHeight="1">
      <c r="A808" s="3" t="str">
        <f>"21342019072911180396293"</f>
        <v>21342019072911180396293</v>
      </c>
      <c r="B808" s="3" t="s">
        <v>6</v>
      </c>
      <c r="C808" s="3" t="str">
        <f>"邱海珍"</f>
        <v>邱海珍</v>
      </c>
      <c r="D808" s="3" t="str">
        <f t="shared" si="13"/>
        <v>女</v>
      </c>
      <c r="E808" s="3" t="str">
        <f>"1990-02-14"</f>
        <v>1990-02-14</v>
      </c>
    </row>
    <row r="809" spans="1:5" s="4" customFormat="1" ht="18" customHeight="1">
      <c r="A809" s="3" t="str">
        <f>"21342019072911181796294"</f>
        <v>21342019072911181796294</v>
      </c>
      <c r="B809" s="3" t="s">
        <v>6</v>
      </c>
      <c r="C809" s="3" t="str">
        <f>"麦贤曼"</f>
        <v>麦贤曼</v>
      </c>
      <c r="D809" s="3" t="str">
        <f t="shared" si="13"/>
        <v>女</v>
      </c>
      <c r="E809" s="3" t="str">
        <f>"1994-07-16"</f>
        <v>1994-07-16</v>
      </c>
    </row>
    <row r="810" spans="1:5" s="4" customFormat="1" ht="18" customHeight="1">
      <c r="A810" s="3" t="str">
        <f>"21342019072911203396297"</f>
        <v>21342019072911203396297</v>
      </c>
      <c r="B810" s="3" t="s">
        <v>6</v>
      </c>
      <c r="C810" s="3" t="str">
        <f>"张春妮"</f>
        <v>张春妮</v>
      </c>
      <c r="D810" s="3" t="str">
        <f t="shared" si="13"/>
        <v>女</v>
      </c>
      <c r="E810" s="3" t="str">
        <f>"1991-06-17"</f>
        <v>1991-06-17</v>
      </c>
    </row>
    <row r="811" spans="1:5" s="4" customFormat="1" ht="18" customHeight="1">
      <c r="A811" s="3" t="str">
        <f>"21342019072911263196299"</f>
        <v>21342019072911263196299</v>
      </c>
      <c r="B811" s="3" t="s">
        <v>6</v>
      </c>
      <c r="C811" s="3" t="str">
        <f>"符营慧"</f>
        <v>符营慧</v>
      </c>
      <c r="D811" s="3" t="str">
        <f t="shared" si="13"/>
        <v>女</v>
      </c>
      <c r="E811" s="3" t="str">
        <f>"1991-10-08"</f>
        <v>1991-10-08</v>
      </c>
    </row>
    <row r="812" spans="1:5" s="4" customFormat="1" ht="18" customHeight="1">
      <c r="A812" s="3" t="str">
        <f>"21342019072911270096301"</f>
        <v>21342019072911270096301</v>
      </c>
      <c r="B812" s="3" t="s">
        <v>6</v>
      </c>
      <c r="C812" s="3" t="str">
        <f>"吴秋扬"</f>
        <v>吴秋扬</v>
      </c>
      <c r="D812" s="3" t="str">
        <f t="shared" si="13"/>
        <v>女</v>
      </c>
      <c r="E812" s="3" t="str">
        <f>"1997-08-09"</f>
        <v>1997-08-09</v>
      </c>
    </row>
    <row r="813" spans="1:5" s="4" customFormat="1" ht="18" customHeight="1">
      <c r="A813" s="3" t="str">
        <f>"21342019072911301296304"</f>
        <v>21342019072911301296304</v>
      </c>
      <c r="B813" s="3" t="s">
        <v>6</v>
      </c>
      <c r="C813" s="3" t="str">
        <f>"林小燕"</f>
        <v>林小燕</v>
      </c>
      <c r="D813" s="3" t="str">
        <f t="shared" si="13"/>
        <v>女</v>
      </c>
      <c r="E813" s="3" t="str">
        <f>"1990-12-07"</f>
        <v>1990-12-07</v>
      </c>
    </row>
    <row r="814" spans="1:5" s="4" customFormat="1" ht="18" customHeight="1">
      <c r="A814" s="3" t="str">
        <f>"21342019072911313196306"</f>
        <v>21342019072911313196306</v>
      </c>
      <c r="B814" s="3" t="s">
        <v>6</v>
      </c>
      <c r="C814" s="3" t="str">
        <f>"陈蓉脒"</f>
        <v>陈蓉脒</v>
      </c>
      <c r="D814" s="3" t="str">
        <f t="shared" si="13"/>
        <v>女</v>
      </c>
      <c r="E814" s="3" t="str">
        <f>"1996-08-05"</f>
        <v>1996-08-05</v>
      </c>
    </row>
    <row r="815" spans="1:5" s="4" customFormat="1" ht="18" customHeight="1">
      <c r="A815" s="3" t="str">
        <f>"21342019072911314296307"</f>
        <v>21342019072911314296307</v>
      </c>
      <c r="B815" s="3" t="s">
        <v>6</v>
      </c>
      <c r="C815" s="3" t="str">
        <f>"薛启兰"</f>
        <v>薛启兰</v>
      </c>
      <c r="D815" s="3" t="str">
        <f t="shared" si="13"/>
        <v>女</v>
      </c>
      <c r="E815" s="3" t="str">
        <f>"1995-06-06"</f>
        <v>1995-06-06</v>
      </c>
    </row>
    <row r="816" spans="1:5" s="4" customFormat="1" ht="18" customHeight="1">
      <c r="A816" s="3" t="str">
        <f>"21342019072911332296308"</f>
        <v>21342019072911332296308</v>
      </c>
      <c r="B816" s="3" t="s">
        <v>6</v>
      </c>
      <c r="C816" s="3" t="str">
        <f>"陈晓凤"</f>
        <v>陈晓凤</v>
      </c>
      <c r="D816" s="3" t="str">
        <f t="shared" si="13"/>
        <v>女</v>
      </c>
      <c r="E816" s="3" t="str">
        <f>"1994-08-10"</f>
        <v>1994-08-10</v>
      </c>
    </row>
    <row r="817" spans="1:5" s="4" customFormat="1" ht="18" customHeight="1">
      <c r="A817" s="3" t="str">
        <f>"21342019072911341896309"</f>
        <v>21342019072911341896309</v>
      </c>
      <c r="B817" s="3" t="s">
        <v>6</v>
      </c>
      <c r="C817" s="3" t="str">
        <f>"陈鸿阳"</f>
        <v>陈鸿阳</v>
      </c>
      <c r="D817" s="3" t="str">
        <f t="shared" si="13"/>
        <v>女</v>
      </c>
      <c r="E817" s="3" t="str">
        <f>"1998-07-11"</f>
        <v>1998-07-11</v>
      </c>
    </row>
    <row r="818" spans="1:5" s="4" customFormat="1" ht="18" customHeight="1">
      <c r="A818" s="3" t="str">
        <f>"21342019072911350496311"</f>
        <v>21342019072911350496311</v>
      </c>
      <c r="B818" s="3" t="s">
        <v>6</v>
      </c>
      <c r="C818" s="3" t="str">
        <f>"郑秀丽"</f>
        <v>郑秀丽</v>
      </c>
      <c r="D818" s="3" t="str">
        <f t="shared" si="13"/>
        <v>女</v>
      </c>
      <c r="E818" s="3" t="str">
        <f>"1994-09-23"</f>
        <v>1994-09-23</v>
      </c>
    </row>
    <row r="819" spans="1:5" s="4" customFormat="1" ht="18" customHeight="1">
      <c r="A819" s="3" t="str">
        <f>"21342019072911404096316"</f>
        <v>21342019072911404096316</v>
      </c>
      <c r="B819" s="3" t="s">
        <v>6</v>
      </c>
      <c r="C819" s="3" t="str">
        <f>"李秋菊"</f>
        <v>李秋菊</v>
      </c>
      <c r="D819" s="3" t="str">
        <f t="shared" si="13"/>
        <v>女</v>
      </c>
      <c r="E819" s="3" t="str">
        <f>"1992-07-23"</f>
        <v>1992-07-23</v>
      </c>
    </row>
    <row r="820" spans="1:5" s="4" customFormat="1" ht="18" customHeight="1">
      <c r="A820" s="3" t="str">
        <f>"21342019072911432296318"</f>
        <v>21342019072911432296318</v>
      </c>
      <c r="B820" s="3" t="s">
        <v>6</v>
      </c>
      <c r="C820" s="3" t="str">
        <f>"林佳佳"</f>
        <v>林佳佳</v>
      </c>
      <c r="D820" s="3" t="str">
        <f t="shared" si="13"/>
        <v>女</v>
      </c>
      <c r="E820" s="3" t="str">
        <f>"1992-04-07"</f>
        <v>1992-04-07</v>
      </c>
    </row>
    <row r="821" spans="1:5" s="4" customFormat="1" ht="18" customHeight="1">
      <c r="A821" s="3" t="str">
        <f>"21342019072911450596320"</f>
        <v>21342019072911450596320</v>
      </c>
      <c r="B821" s="3" t="s">
        <v>6</v>
      </c>
      <c r="C821" s="3" t="str">
        <f>"蒲芬"</f>
        <v>蒲芬</v>
      </c>
      <c r="D821" s="3" t="str">
        <f t="shared" si="13"/>
        <v>女</v>
      </c>
      <c r="E821" s="3" t="str">
        <f>"1995-11-06"</f>
        <v>1995-11-06</v>
      </c>
    </row>
    <row r="822" spans="1:5" s="4" customFormat="1" ht="18" customHeight="1">
      <c r="A822" s="3" t="str">
        <f>"21342019072911463596321"</f>
        <v>21342019072911463596321</v>
      </c>
      <c r="B822" s="3" t="s">
        <v>6</v>
      </c>
      <c r="C822" s="3" t="str">
        <f>"陈应秀"</f>
        <v>陈应秀</v>
      </c>
      <c r="D822" s="3" t="str">
        <f t="shared" si="13"/>
        <v>女</v>
      </c>
      <c r="E822" s="3" t="str">
        <f>"1996-07-20"</f>
        <v>1996-07-20</v>
      </c>
    </row>
    <row r="823" spans="1:5" s="4" customFormat="1" ht="18" customHeight="1">
      <c r="A823" s="3" t="str">
        <f>"21342019072911464496322"</f>
        <v>21342019072911464496322</v>
      </c>
      <c r="B823" s="3" t="s">
        <v>6</v>
      </c>
      <c r="C823" s="3" t="str">
        <f>"黎金菊"</f>
        <v>黎金菊</v>
      </c>
      <c r="D823" s="3" t="str">
        <f t="shared" si="13"/>
        <v>女</v>
      </c>
      <c r="E823" s="3" t="str">
        <f>"1995-08-16"</f>
        <v>1995-08-16</v>
      </c>
    </row>
    <row r="824" spans="1:5" s="4" customFormat="1" ht="18" customHeight="1">
      <c r="A824" s="3" t="str">
        <f>"21342019072911523296327"</f>
        <v>21342019072911523296327</v>
      </c>
      <c r="B824" s="3" t="s">
        <v>6</v>
      </c>
      <c r="C824" s="3" t="str">
        <f>"罗四妹"</f>
        <v>罗四妹</v>
      </c>
      <c r="D824" s="3" t="str">
        <f t="shared" si="13"/>
        <v>女</v>
      </c>
      <c r="E824" s="3" t="str">
        <f>"1993-06-12"</f>
        <v>1993-06-12</v>
      </c>
    </row>
    <row r="825" spans="1:5" s="4" customFormat="1" ht="18" customHeight="1">
      <c r="A825" s="3" t="str">
        <f>"21342019072911565496328"</f>
        <v>21342019072911565496328</v>
      </c>
      <c r="B825" s="3" t="s">
        <v>6</v>
      </c>
      <c r="C825" s="3" t="str">
        <f>"钟彩霞"</f>
        <v>钟彩霞</v>
      </c>
      <c r="D825" s="3" t="str">
        <f t="shared" si="13"/>
        <v>女</v>
      </c>
      <c r="E825" s="3" t="str">
        <f>"1998-03-13"</f>
        <v>1998-03-13</v>
      </c>
    </row>
    <row r="826" spans="1:5" s="4" customFormat="1" ht="18" customHeight="1">
      <c r="A826" s="3" t="str">
        <f>"21342019072912024596332"</f>
        <v>21342019072912024596332</v>
      </c>
      <c r="B826" s="3" t="s">
        <v>6</v>
      </c>
      <c r="C826" s="3" t="str">
        <f>"陈钰岑"</f>
        <v>陈钰岑</v>
      </c>
      <c r="D826" s="3" t="str">
        <f t="shared" si="13"/>
        <v>女</v>
      </c>
      <c r="E826" s="3" t="str">
        <f>"1992-08-24"</f>
        <v>1992-08-24</v>
      </c>
    </row>
    <row r="827" spans="1:5" s="4" customFormat="1" ht="18" customHeight="1">
      <c r="A827" s="3" t="str">
        <f>"21342019072912043096335"</f>
        <v>21342019072912043096335</v>
      </c>
      <c r="B827" s="3" t="s">
        <v>6</v>
      </c>
      <c r="C827" s="3" t="str">
        <f>"吴阿明"</f>
        <v>吴阿明</v>
      </c>
      <c r="D827" s="3" t="str">
        <f t="shared" si="13"/>
        <v>女</v>
      </c>
      <c r="E827" s="3" t="str">
        <f>"1991-12-28"</f>
        <v>1991-12-28</v>
      </c>
    </row>
    <row r="828" spans="1:5" s="4" customFormat="1" ht="18" customHeight="1">
      <c r="A828" s="3" t="str">
        <f>"21342019072912093296339"</f>
        <v>21342019072912093296339</v>
      </c>
      <c r="B828" s="3" t="s">
        <v>6</v>
      </c>
      <c r="C828" s="3" t="str">
        <f>"王诗妍"</f>
        <v>王诗妍</v>
      </c>
      <c r="D828" s="3" t="str">
        <f t="shared" si="13"/>
        <v>女</v>
      </c>
      <c r="E828" s="3" t="str">
        <f>"1990-10-17"</f>
        <v>1990-10-17</v>
      </c>
    </row>
    <row r="829" spans="1:5" s="4" customFormat="1" ht="18" customHeight="1">
      <c r="A829" s="3" t="str">
        <f>"21342019072912195996342"</f>
        <v>21342019072912195996342</v>
      </c>
      <c r="B829" s="3" t="s">
        <v>6</v>
      </c>
      <c r="C829" s="3" t="str">
        <f>"符舒瑾"</f>
        <v>符舒瑾</v>
      </c>
      <c r="D829" s="3" t="str">
        <f t="shared" si="13"/>
        <v>女</v>
      </c>
      <c r="E829" s="3" t="str">
        <f>"1997-12-20"</f>
        <v>1997-12-20</v>
      </c>
    </row>
    <row r="830" spans="1:5" s="4" customFormat="1" ht="18" customHeight="1">
      <c r="A830" s="3" t="str">
        <f>"21342019072912300396349"</f>
        <v>21342019072912300396349</v>
      </c>
      <c r="B830" s="3" t="s">
        <v>6</v>
      </c>
      <c r="C830" s="3" t="str">
        <f>"符逢梅"</f>
        <v>符逢梅</v>
      </c>
      <c r="D830" s="3" t="str">
        <f t="shared" si="13"/>
        <v>女</v>
      </c>
      <c r="E830" s="3" t="str">
        <f>"1997-02-02"</f>
        <v>1997-02-02</v>
      </c>
    </row>
    <row r="831" spans="1:5" s="4" customFormat="1" ht="18" customHeight="1">
      <c r="A831" s="3" t="str">
        <f>"21342019072912332596353"</f>
        <v>21342019072912332596353</v>
      </c>
      <c r="B831" s="3" t="s">
        <v>6</v>
      </c>
      <c r="C831" s="3" t="str">
        <f>"李梅喜"</f>
        <v>李梅喜</v>
      </c>
      <c r="D831" s="3" t="str">
        <f t="shared" si="13"/>
        <v>女</v>
      </c>
      <c r="E831" s="3" t="str">
        <f>"1996-09-10"</f>
        <v>1996-09-10</v>
      </c>
    </row>
    <row r="832" spans="1:5" s="4" customFormat="1" ht="18" customHeight="1">
      <c r="A832" s="3" t="str">
        <f>"21342019072912340796354"</f>
        <v>21342019072912340796354</v>
      </c>
      <c r="B832" s="3" t="s">
        <v>6</v>
      </c>
      <c r="C832" s="3" t="str">
        <f>"王小兰"</f>
        <v>王小兰</v>
      </c>
      <c r="D832" s="3" t="str">
        <f t="shared" si="13"/>
        <v>女</v>
      </c>
      <c r="E832" s="3" t="str">
        <f>"1991-05-20"</f>
        <v>1991-05-20</v>
      </c>
    </row>
    <row r="833" spans="1:5" s="4" customFormat="1" ht="18" customHeight="1">
      <c r="A833" s="3" t="str">
        <f>"21342019072912350596355"</f>
        <v>21342019072912350596355</v>
      </c>
      <c r="B833" s="3" t="s">
        <v>6</v>
      </c>
      <c r="C833" s="3" t="str">
        <f>"王海艺"</f>
        <v>王海艺</v>
      </c>
      <c r="D833" s="3" t="str">
        <f t="shared" si="13"/>
        <v>女</v>
      </c>
      <c r="E833" s="3" t="str">
        <f>"1994-05-24"</f>
        <v>1994-05-24</v>
      </c>
    </row>
    <row r="834" spans="1:5" s="4" customFormat="1" ht="18" customHeight="1">
      <c r="A834" s="3" t="str">
        <f>"21342019072912351496356"</f>
        <v>21342019072912351496356</v>
      </c>
      <c r="B834" s="3" t="s">
        <v>6</v>
      </c>
      <c r="C834" s="3" t="str">
        <f>"冯蛟"</f>
        <v>冯蛟</v>
      </c>
      <c r="D834" s="3" t="str">
        <f t="shared" si="13"/>
        <v>女</v>
      </c>
      <c r="E834" s="3" t="str">
        <f>"1995-08-21"</f>
        <v>1995-08-21</v>
      </c>
    </row>
    <row r="835" spans="1:5" s="4" customFormat="1" ht="18" customHeight="1">
      <c r="A835" s="3" t="str">
        <f>"21342019072912383096358"</f>
        <v>21342019072912383096358</v>
      </c>
      <c r="B835" s="3" t="s">
        <v>6</v>
      </c>
      <c r="C835" s="3" t="str">
        <f>"李紫妹"</f>
        <v>李紫妹</v>
      </c>
      <c r="D835" s="3" t="str">
        <f t="shared" si="13"/>
        <v>女</v>
      </c>
      <c r="E835" s="3" t="str">
        <f>"1995-08-16"</f>
        <v>1995-08-16</v>
      </c>
    </row>
    <row r="836" spans="1:5" s="4" customFormat="1" ht="18" customHeight="1">
      <c r="A836" s="3" t="str">
        <f>"21342019072912432196361"</f>
        <v>21342019072912432196361</v>
      </c>
      <c r="B836" s="3" t="s">
        <v>6</v>
      </c>
      <c r="C836" s="3" t="str">
        <f>"姜婉萍"</f>
        <v>姜婉萍</v>
      </c>
      <c r="D836" s="3" t="str">
        <f t="shared" si="13"/>
        <v>女</v>
      </c>
      <c r="E836" s="3" t="str">
        <f>"1997-01-25"</f>
        <v>1997-01-25</v>
      </c>
    </row>
    <row r="837" spans="1:5" s="4" customFormat="1" ht="18" customHeight="1">
      <c r="A837" s="3" t="str">
        <f>"21342019072912461896366"</f>
        <v>21342019072912461896366</v>
      </c>
      <c r="B837" s="3" t="s">
        <v>6</v>
      </c>
      <c r="C837" s="3" t="str">
        <f>"苏桂连"</f>
        <v>苏桂连</v>
      </c>
      <c r="D837" s="3" t="str">
        <f t="shared" si="13"/>
        <v>女</v>
      </c>
      <c r="E837" s="3" t="str">
        <f>"1991-08-31"</f>
        <v>1991-08-31</v>
      </c>
    </row>
    <row r="838" spans="1:5" s="4" customFormat="1" ht="18" customHeight="1">
      <c r="A838" s="3" t="str">
        <f>"21342019072912490896368"</f>
        <v>21342019072912490896368</v>
      </c>
      <c r="B838" s="3" t="s">
        <v>6</v>
      </c>
      <c r="C838" s="3" t="str">
        <f>"王芳雪"</f>
        <v>王芳雪</v>
      </c>
      <c r="D838" s="3" t="str">
        <f t="shared" si="13"/>
        <v>女</v>
      </c>
      <c r="E838" s="3" t="str">
        <f>"1996-01-15"</f>
        <v>1996-01-15</v>
      </c>
    </row>
    <row r="839" spans="1:5" s="4" customFormat="1" ht="18" customHeight="1">
      <c r="A839" s="3" t="str">
        <f>"21342019072912491696369"</f>
        <v>21342019072912491696369</v>
      </c>
      <c r="B839" s="3" t="s">
        <v>6</v>
      </c>
      <c r="C839" s="3" t="str">
        <f>"郑文竹"</f>
        <v>郑文竹</v>
      </c>
      <c r="D839" s="3" t="str">
        <f t="shared" si="13"/>
        <v>女</v>
      </c>
      <c r="E839" s="3" t="str">
        <f>"1994-10-03"</f>
        <v>1994-10-03</v>
      </c>
    </row>
    <row r="840" spans="1:5" s="4" customFormat="1" ht="18" customHeight="1">
      <c r="A840" s="3" t="str">
        <f>"21342019072912511796373"</f>
        <v>21342019072912511796373</v>
      </c>
      <c r="B840" s="3" t="s">
        <v>6</v>
      </c>
      <c r="C840" s="3" t="str">
        <f>"吴庆莲"</f>
        <v>吴庆莲</v>
      </c>
      <c r="D840" s="3" t="str">
        <f t="shared" si="13"/>
        <v>女</v>
      </c>
      <c r="E840" s="3" t="str">
        <f>"1994-04-25"</f>
        <v>1994-04-25</v>
      </c>
    </row>
    <row r="841" spans="1:5" s="4" customFormat="1" ht="18" customHeight="1">
      <c r="A841" s="3" t="str">
        <f>"21342019072912524296376"</f>
        <v>21342019072912524296376</v>
      </c>
      <c r="B841" s="3" t="s">
        <v>6</v>
      </c>
      <c r="C841" s="3" t="str">
        <f>"符贞英"</f>
        <v>符贞英</v>
      </c>
      <c r="D841" s="3" t="str">
        <f t="shared" si="13"/>
        <v>女</v>
      </c>
      <c r="E841" s="3" t="str">
        <f>"1992-10-08"</f>
        <v>1992-10-08</v>
      </c>
    </row>
    <row r="842" spans="1:5" s="4" customFormat="1" ht="18" customHeight="1">
      <c r="A842" s="3" t="str">
        <f>"21342019072912533496378"</f>
        <v>21342019072912533496378</v>
      </c>
      <c r="B842" s="3" t="s">
        <v>6</v>
      </c>
      <c r="C842" s="3" t="str">
        <f>"徐海珍"</f>
        <v>徐海珍</v>
      </c>
      <c r="D842" s="3" t="str">
        <f t="shared" si="13"/>
        <v>女</v>
      </c>
      <c r="E842" s="3" t="str">
        <f>"1995-08-15"</f>
        <v>1995-08-15</v>
      </c>
    </row>
    <row r="843" spans="1:5" s="4" customFormat="1" ht="18" customHeight="1">
      <c r="A843" s="3" t="str">
        <f>"21342019072912571696382"</f>
        <v>21342019072912571696382</v>
      </c>
      <c r="B843" s="3" t="s">
        <v>6</v>
      </c>
      <c r="C843" s="3" t="str">
        <f>"韩湖萍"</f>
        <v>韩湖萍</v>
      </c>
      <c r="D843" s="3" t="str">
        <f t="shared" si="13"/>
        <v>女</v>
      </c>
      <c r="E843" s="3" t="str">
        <f>"1990-10-05"</f>
        <v>1990-10-05</v>
      </c>
    </row>
    <row r="844" spans="1:5" s="4" customFormat="1" ht="18" customHeight="1">
      <c r="A844" s="3" t="str">
        <f>"21342019072912592796385"</f>
        <v>21342019072912592796385</v>
      </c>
      <c r="B844" s="3" t="s">
        <v>6</v>
      </c>
      <c r="C844" s="3" t="str">
        <f>"高颖群"</f>
        <v>高颖群</v>
      </c>
      <c r="D844" s="3" t="str">
        <f t="shared" si="13"/>
        <v>女</v>
      </c>
      <c r="E844" s="3" t="str">
        <f>"1990-03-01"</f>
        <v>1990-03-01</v>
      </c>
    </row>
    <row r="845" spans="1:5" s="4" customFormat="1" ht="18" customHeight="1">
      <c r="A845" s="3" t="str">
        <f>"21342019072913015296386"</f>
        <v>21342019072913015296386</v>
      </c>
      <c r="B845" s="3" t="s">
        <v>6</v>
      </c>
      <c r="C845" s="3" t="str">
        <f>"符小玲"</f>
        <v>符小玲</v>
      </c>
      <c r="D845" s="3" t="str">
        <f t="shared" si="13"/>
        <v>女</v>
      </c>
      <c r="E845" s="3" t="str">
        <f>"1995-06-21"</f>
        <v>1995-06-21</v>
      </c>
    </row>
    <row r="846" spans="1:5" s="4" customFormat="1" ht="18" customHeight="1">
      <c r="A846" s="3" t="str">
        <f>"21342019072913043196387"</f>
        <v>21342019072913043196387</v>
      </c>
      <c r="B846" s="3" t="s">
        <v>6</v>
      </c>
      <c r="C846" s="3" t="str">
        <f>"何惠妃"</f>
        <v>何惠妃</v>
      </c>
      <c r="D846" s="3" t="str">
        <f t="shared" si="13"/>
        <v>女</v>
      </c>
      <c r="E846" s="3" t="str">
        <f>"1992-07-01"</f>
        <v>1992-07-01</v>
      </c>
    </row>
    <row r="847" spans="1:5" s="4" customFormat="1" ht="18" customHeight="1">
      <c r="A847" s="3" t="str">
        <f>"21342019072913112096390"</f>
        <v>21342019072913112096390</v>
      </c>
      <c r="B847" s="3" t="s">
        <v>6</v>
      </c>
      <c r="C847" s="3" t="str">
        <f>"吴秋玲"</f>
        <v>吴秋玲</v>
      </c>
      <c r="D847" s="3" t="str">
        <f t="shared" si="13"/>
        <v>女</v>
      </c>
      <c r="E847" s="3" t="str">
        <f>"1999-01-07"</f>
        <v>1999-01-07</v>
      </c>
    </row>
    <row r="848" spans="1:5" s="4" customFormat="1" ht="18" customHeight="1">
      <c r="A848" s="3" t="str">
        <f>"21342019072913133796396"</f>
        <v>21342019072913133796396</v>
      </c>
      <c r="B848" s="3" t="s">
        <v>6</v>
      </c>
      <c r="C848" s="3" t="str">
        <f>"包丽莉"</f>
        <v>包丽莉</v>
      </c>
      <c r="D848" s="3" t="str">
        <f t="shared" si="13"/>
        <v>女</v>
      </c>
      <c r="E848" s="3" t="str">
        <f>"1993-11-13"</f>
        <v>1993-11-13</v>
      </c>
    </row>
    <row r="849" spans="1:5" s="4" customFormat="1" ht="18" customHeight="1">
      <c r="A849" s="3" t="str">
        <f>"21342019072913143596398"</f>
        <v>21342019072913143596398</v>
      </c>
      <c r="B849" s="3" t="s">
        <v>6</v>
      </c>
      <c r="C849" s="3" t="str">
        <f>"刘慧妹"</f>
        <v>刘慧妹</v>
      </c>
      <c r="D849" s="3" t="str">
        <f t="shared" si="13"/>
        <v>女</v>
      </c>
      <c r="E849" s="3" t="str">
        <f>"1992-09-05"</f>
        <v>1992-09-05</v>
      </c>
    </row>
    <row r="850" spans="1:5" s="4" customFormat="1" ht="18" customHeight="1">
      <c r="A850" s="3" t="str">
        <f>"21342019072913155796399"</f>
        <v>21342019072913155796399</v>
      </c>
      <c r="B850" s="3" t="s">
        <v>6</v>
      </c>
      <c r="C850" s="3" t="str">
        <f>"刘壮梅"</f>
        <v>刘壮梅</v>
      </c>
      <c r="D850" s="3" t="str">
        <f t="shared" si="13"/>
        <v>女</v>
      </c>
      <c r="E850" s="3" t="str">
        <f>"1990-01-02"</f>
        <v>1990-01-02</v>
      </c>
    </row>
    <row r="851" spans="1:5" s="4" customFormat="1" ht="18" customHeight="1">
      <c r="A851" s="3" t="str">
        <f>"21342019072913174096400"</f>
        <v>21342019072913174096400</v>
      </c>
      <c r="B851" s="3" t="s">
        <v>6</v>
      </c>
      <c r="C851" s="3" t="str">
        <f>"王萱萱"</f>
        <v>王萱萱</v>
      </c>
      <c r="D851" s="3" t="str">
        <f aca="true" t="shared" si="14" ref="D851:D914">"女"</f>
        <v>女</v>
      </c>
      <c r="E851" s="3" t="str">
        <f>"1996-03-08"</f>
        <v>1996-03-08</v>
      </c>
    </row>
    <row r="852" spans="1:5" s="4" customFormat="1" ht="18" customHeight="1">
      <c r="A852" s="3" t="str">
        <f>"21342019072913202796401"</f>
        <v>21342019072913202796401</v>
      </c>
      <c r="B852" s="3" t="s">
        <v>6</v>
      </c>
      <c r="C852" s="3" t="str">
        <f>"陈丽珏"</f>
        <v>陈丽珏</v>
      </c>
      <c r="D852" s="3" t="str">
        <f t="shared" si="14"/>
        <v>女</v>
      </c>
      <c r="E852" s="3" t="str">
        <f>"1997-07-01"</f>
        <v>1997-07-01</v>
      </c>
    </row>
    <row r="853" spans="1:5" s="4" customFormat="1" ht="18" customHeight="1">
      <c r="A853" s="3" t="str">
        <f>"21342019072913231396403"</f>
        <v>21342019072913231396403</v>
      </c>
      <c r="B853" s="3" t="s">
        <v>6</v>
      </c>
      <c r="C853" s="3" t="str">
        <f>"谢健柳"</f>
        <v>谢健柳</v>
      </c>
      <c r="D853" s="3" t="str">
        <f t="shared" si="14"/>
        <v>女</v>
      </c>
      <c r="E853" s="3" t="str">
        <f>"1993-04-14"</f>
        <v>1993-04-14</v>
      </c>
    </row>
    <row r="854" spans="1:5" s="4" customFormat="1" ht="18" customHeight="1">
      <c r="A854" s="3" t="str">
        <f>"21342019072913252496405"</f>
        <v>21342019072913252496405</v>
      </c>
      <c r="B854" s="3" t="s">
        <v>6</v>
      </c>
      <c r="C854" s="3" t="str">
        <f>"王薇薇"</f>
        <v>王薇薇</v>
      </c>
      <c r="D854" s="3" t="str">
        <f t="shared" si="14"/>
        <v>女</v>
      </c>
      <c r="E854" s="3" t="str">
        <f>"1994-09-14"</f>
        <v>1994-09-14</v>
      </c>
    </row>
    <row r="855" spans="1:5" s="4" customFormat="1" ht="18" customHeight="1">
      <c r="A855" s="3" t="str">
        <f>"21342019072913254296407"</f>
        <v>21342019072913254296407</v>
      </c>
      <c r="B855" s="3" t="s">
        <v>6</v>
      </c>
      <c r="C855" s="3" t="str">
        <f>"容孝婷"</f>
        <v>容孝婷</v>
      </c>
      <c r="D855" s="3" t="str">
        <f t="shared" si="14"/>
        <v>女</v>
      </c>
      <c r="E855" s="3" t="str">
        <f>"1996-04-29"</f>
        <v>1996-04-29</v>
      </c>
    </row>
    <row r="856" spans="1:5" s="4" customFormat="1" ht="18" customHeight="1">
      <c r="A856" s="3" t="str">
        <f>"21342019072913262696409"</f>
        <v>21342019072913262696409</v>
      </c>
      <c r="B856" s="3" t="s">
        <v>6</v>
      </c>
      <c r="C856" s="3" t="str">
        <f>"陈雅琳"</f>
        <v>陈雅琳</v>
      </c>
      <c r="D856" s="3" t="str">
        <f t="shared" si="14"/>
        <v>女</v>
      </c>
      <c r="E856" s="3" t="str">
        <f>"1995-07-30"</f>
        <v>1995-07-30</v>
      </c>
    </row>
    <row r="857" spans="1:5" s="4" customFormat="1" ht="18" customHeight="1">
      <c r="A857" s="3" t="str">
        <f>"21342019072913284396412"</f>
        <v>21342019072913284396412</v>
      </c>
      <c r="B857" s="3" t="s">
        <v>6</v>
      </c>
      <c r="C857" s="3" t="str">
        <f>"林高芳"</f>
        <v>林高芳</v>
      </c>
      <c r="D857" s="3" t="str">
        <f t="shared" si="14"/>
        <v>女</v>
      </c>
      <c r="E857" s="3" t="str">
        <f>"1989-12-10"</f>
        <v>1989-12-10</v>
      </c>
    </row>
    <row r="858" spans="1:5" s="4" customFormat="1" ht="18" customHeight="1">
      <c r="A858" s="3" t="str">
        <f>"21342019072913383396417"</f>
        <v>21342019072913383396417</v>
      </c>
      <c r="B858" s="3" t="s">
        <v>6</v>
      </c>
      <c r="C858" s="3" t="str">
        <f>"吴红格"</f>
        <v>吴红格</v>
      </c>
      <c r="D858" s="3" t="str">
        <f t="shared" si="14"/>
        <v>女</v>
      </c>
      <c r="E858" s="3" t="str">
        <f>"1998-12-26"</f>
        <v>1998-12-26</v>
      </c>
    </row>
    <row r="859" spans="1:5" s="4" customFormat="1" ht="18" customHeight="1">
      <c r="A859" s="3" t="str">
        <f>"21342019072913535396422"</f>
        <v>21342019072913535396422</v>
      </c>
      <c r="B859" s="3" t="s">
        <v>6</v>
      </c>
      <c r="C859" s="3" t="str">
        <f>"黎梅艳"</f>
        <v>黎梅艳</v>
      </c>
      <c r="D859" s="3" t="str">
        <f t="shared" si="14"/>
        <v>女</v>
      </c>
      <c r="E859" s="3" t="str">
        <f>"1994-11-20"</f>
        <v>1994-11-20</v>
      </c>
    </row>
    <row r="860" spans="1:5" s="4" customFormat="1" ht="18" customHeight="1">
      <c r="A860" s="3" t="str">
        <f>"21342019072913551896423"</f>
        <v>21342019072913551896423</v>
      </c>
      <c r="B860" s="3" t="s">
        <v>6</v>
      </c>
      <c r="C860" s="3" t="str">
        <f>"李强萍"</f>
        <v>李强萍</v>
      </c>
      <c r="D860" s="3" t="str">
        <f t="shared" si="14"/>
        <v>女</v>
      </c>
      <c r="E860" s="3" t="str">
        <f>"1996-12-21"</f>
        <v>1996-12-21</v>
      </c>
    </row>
    <row r="861" spans="1:5" s="4" customFormat="1" ht="18" customHeight="1">
      <c r="A861" s="3" t="str">
        <f>"21342019072914103896425"</f>
        <v>21342019072914103896425</v>
      </c>
      <c r="B861" s="3" t="s">
        <v>6</v>
      </c>
      <c r="C861" s="3" t="str">
        <f>"周晓蕊"</f>
        <v>周晓蕊</v>
      </c>
      <c r="D861" s="3" t="str">
        <f t="shared" si="14"/>
        <v>女</v>
      </c>
      <c r="E861" s="3" t="str">
        <f>"1991-11-03"</f>
        <v>1991-11-03</v>
      </c>
    </row>
    <row r="862" spans="1:5" s="4" customFormat="1" ht="18" customHeight="1">
      <c r="A862" s="3" t="str">
        <f>"21342019072914155696428"</f>
        <v>21342019072914155696428</v>
      </c>
      <c r="B862" s="3" t="s">
        <v>6</v>
      </c>
      <c r="C862" s="3" t="str">
        <f>"符启娇"</f>
        <v>符启娇</v>
      </c>
      <c r="D862" s="3" t="str">
        <f t="shared" si="14"/>
        <v>女</v>
      </c>
      <c r="E862" s="3" t="str">
        <f>"1992-02-14"</f>
        <v>1992-02-14</v>
      </c>
    </row>
    <row r="863" spans="1:5" s="4" customFormat="1" ht="18" customHeight="1">
      <c r="A863" s="3" t="str">
        <f>"21342019072914212296430"</f>
        <v>21342019072914212296430</v>
      </c>
      <c r="B863" s="3" t="s">
        <v>6</v>
      </c>
      <c r="C863" s="3" t="str">
        <f>"冯婧琪"</f>
        <v>冯婧琪</v>
      </c>
      <c r="D863" s="3" t="str">
        <f t="shared" si="14"/>
        <v>女</v>
      </c>
      <c r="E863" s="3" t="str">
        <f>"1993-06-19"</f>
        <v>1993-06-19</v>
      </c>
    </row>
    <row r="864" spans="1:5" s="4" customFormat="1" ht="18" customHeight="1">
      <c r="A864" s="3" t="str">
        <f>"21342019072914272796433"</f>
        <v>21342019072914272796433</v>
      </c>
      <c r="B864" s="3" t="s">
        <v>6</v>
      </c>
      <c r="C864" s="3" t="str">
        <f>"吴冰虹"</f>
        <v>吴冰虹</v>
      </c>
      <c r="D864" s="3" t="str">
        <f t="shared" si="14"/>
        <v>女</v>
      </c>
      <c r="E864" s="3" t="str">
        <f>"1997-06-10"</f>
        <v>1997-06-10</v>
      </c>
    </row>
    <row r="865" spans="1:5" s="4" customFormat="1" ht="18" customHeight="1">
      <c r="A865" s="3" t="str">
        <f>"21342019072914353396436"</f>
        <v>21342019072914353396436</v>
      </c>
      <c r="B865" s="3" t="s">
        <v>6</v>
      </c>
      <c r="C865" s="3" t="str">
        <f>"梁婉玉"</f>
        <v>梁婉玉</v>
      </c>
      <c r="D865" s="3" t="str">
        <f t="shared" si="14"/>
        <v>女</v>
      </c>
      <c r="E865" s="3" t="str">
        <f>"1990-10-03"</f>
        <v>1990-10-03</v>
      </c>
    </row>
    <row r="866" spans="1:5" s="4" customFormat="1" ht="18" customHeight="1">
      <c r="A866" s="3" t="str">
        <f>"21342019072914370596438"</f>
        <v>21342019072914370596438</v>
      </c>
      <c r="B866" s="3" t="s">
        <v>6</v>
      </c>
      <c r="C866" s="3" t="str">
        <f>"陈云子"</f>
        <v>陈云子</v>
      </c>
      <c r="D866" s="3" t="str">
        <f t="shared" si="14"/>
        <v>女</v>
      </c>
      <c r="E866" s="3" t="str">
        <f>"1991-05-08"</f>
        <v>1991-05-08</v>
      </c>
    </row>
    <row r="867" spans="1:5" s="4" customFormat="1" ht="18" customHeight="1">
      <c r="A867" s="3" t="str">
        <f>"21342019072914431996439"</f>
        <v>21342019072914431996439</v>
      </c>
      <c r="B867" s="3" t="s">
        <v>6</v>
      </c>
      <c r="C867" s="3" t="str">
        <f>"黄秋妹"</f>
        <v>黄秋妹</v>
      </c>
      <c r="D867" s="3" t="str">
        <f t="shared" si="14"/>
        <v>女</v>
      </c>
      <c r="E867" s="3" t="str">
        <f>"1997-12-07"</f>
        <v>1997-12-07</v>
      </c>
    </row>
    <row r="868" spans="1:5" s="4" customFormat="1" ht="18" customHeight="1">
      <c r="A868" s="3" t="str">
        <f>"21342019072914444796442"</f>
        <v>21342019072914444796442</v>
      </c>
      <c r="B868" s="3" t="s">
        <v>6</v>
      </c>
      <c r="C868" s="3" t="str">
        <f>"何美君"</f>
        <v>何美君</v>
      </c>
      <c r="D868" s="3" t="str">
        <f t="shared" si="14"/>
        <v>女</v>
      </c>
      <c r="E868" s="3" t="str">
        <f>"1996-07-13"</f>
        <v>1996-07-13</v>
      </c>
    </row>
    <row r="869" spans="1:5" s="4" customFormat="1" ht="18" customHeight="1">
      <c r="A869" s="3" t="str">
        <f>"21342019072914462296444"</f>
        <v>21342019072914462296444</v>
      </c>
      <c r="B869" s="3" t="s">
        <v>6</v>
      </c>
      <c r="C869" s="3" t="str">
        <f>"符凤霞"</f>
        <v>符凤霞</v>
      </c>
      <c r="D869" s="3" t="str">
        <f t="shared" si="14"/>
        <v>女</v>
      </c>
      <c r="E869" s="3" t="str">
        <f>"1990-07-11"</f>
        <v>1990-07-11</v>
      </c>
    </row>
    <row r="870" spans="1:5" s="4" customFormat="1" ht="18" customHeight="1">
      <c r="A870" s="3" t="str">
        <f>"21342019072914510696447"</f>
        <v>21342019072914510696447</v>
      </c>
      <c r="B870" s="3" t="s">
        <v>6</v>
      </c>
      <c r="C870" s="3" t="str">
        <f>"陈圆圆"</f>
        <v>陈圆圆</v>
      </c>
      <c r="D870" s="3" t="str">
        <f t="shared" si="14"/>
        <v>女</v>
      </c>
      <c r="E870" s="3" t="str">
        <f>"1994-09-05"</f>
        <v>1994-09-05</v>
      </c>
    </row>
    <row r="871" spans="1:5" s="4" customFormat="1" ht="18" customHeight="1">
      <c r="A871" s="3" t="str">
        <f>"21342019072914531296449"</f>
        <v>21342019072914531296449</v>
      </c>
      <c r="B871" s="3" t="s">
        <v>6</v>
      </c>
      <c r="C871" s="3" t="str">
        <f>"王春燕"</f>
        <v>王春燕</v>
      </c>
      <c r="D871" s="3" t="str">
        <f t="shared" si="14"/>
        <v>女</v>
      </c>
      <c r="E871" s="3" t="str">
        <f>"1989-09-27"</f>
        <v>1989-09-27</v>
      </c>
    </row>
    <row r="872" spans="1:5" s="4" customFormat="1" ht="18" customHeight="1">
      <c r="A872" s="3" t="str">
        <f>"21342019072914543696451"</f>
        <v>21342019072914543696451</v>
      </c>
      <c r="B872" s="3" t="s">
        <v>6</v>
      </c>
      <c r="C872" s="3" t="str">
        <f>"李梦珍"</f>
        <v>李梦珍</v>
      </c>
      <c r="D872" s="3" t="str">
        <f t="shared" si="14"/>
        <v>女</v>
      </c>
      <c r="E872" s="3" t="str">
        <f>"1993-08-15"</f>
        <v>1993-08-15</v>
      </c>
    </row>
    <row r="873" spans="1:5" s="4" customFormat="1" ht="18" customHeight="1">
      <c r="A873" s="3" t="str">
        <f>"21342019072914594696457"</f>
        <v>21342019072914594696457</v>
      </c>
      <c r="B873" s="3" t="s">
        <v>6</v>
      </c>
      <c r="C873" s="3" t="str">
        <f>"苏家蕊"</f>
        <v>苏家蕊</v>
      </c>
      <c r="D873" s="3" t="str">
        <f t="shared" si="14"/>
        <v>女</v>
      </c>
      <c r="E873" s="3" t="str">
        <f>"1990-05-06"</f>
        <v>1990-05-06</v>
      </c>
    </row>
    <row r="874" spans="1:5" s="4" customFormat="1" ht="18" customHeight="1">
      <c r="A874" s="3" t="str">
        <f>"21342019072915010296459"</f>
        <v>21342019072915010296459</v>
      </c>
      <c r="B874" s="3" t="s">
        <v>6</v>
      </c>
      <c r="C874" s="3" t="str">
        <f>"何少云"</f>
        <v>何少云</v>
      </c>
      <c r="D874" s="3" t="str">
        <f t="shared" si="14"/>
        <v>女</v>
      </c>
      <c r="E874" s="3" t="str">
        <f>"1995-11-02"</f>
        <v>1995-11-02</v>
      </c>
    </row>
    <row r="875" spans="1:5" s="4" customFormat="1" ht="18" customHeight="1">
      <c r="A875" s="3" t="str">
        <f>"21342019072915035296461"</f>
        <v>21342019072915035296461</v>
      </c>
      <c r="B875" s="3" t="s">
        <v>6</v>
      </c>
      <c r="C875" s="3" t="str">
        <f>"刘秀"</f>
        <v>刘秀</v>
      </c>
      <c r="D875" s="3" t="str">
        <f t="shared" si="14"/>
        <v>女</v>
      </c>
      <c r="E875" s="3" t="str">
        <f>"1998-04-07"</f>
        <v>1998-04-07</v>
      </c>
    </row>
    <row r="876" spans="1:5" s="4" customFormat="1" ht="18" customHeight="1">
      <c r="A876" s="3" t="str">
        <f>"21342019072915061796465"</f>
        <v>21342019072915061796465</v>
      </c>
      <c r="B876" s="3" t="s">
        <v>6</v>
      </c>
      <c r="C876" s="3" t="str">
        <f>"周梨梨"</f>
        <v>周梨梨</v>
      </c>
      <c r="D876" s="3" t="str">
        <f t="shared" si="14"/>
        <v>女</v>
      </c>
      <c r="E876" s="3" t="str">
        <f>"1992-10-21"</f>
        <v>1992-10-21</v>
      </c>
    </row>
    <row r="877" spans="1:5" s="4" customFormat="1" ht="18" customHeight="1">
      <c r="A877" s="3" t="str">
        <f>"21342019072915102496469"</f>
        <v>21342019072915102496469</v>
      </c>
      <c r="B877" s="3" t="s">
        <v>6</v>
      </c>
      <c r="C877" s="3" t="str">
        <f>"唐芊"</f>
        <v>唐芊</v>
      </c>
      <c r="D877" s="3" t="str">
        <f t="shared" si="14"/>
        <v>女</v>
      </c>
      <c r="E877" s="3" t="str">
        <f>"1995-02-12"</f>
        <v>1995-02-12</v>
      </c>
    </row>
    <row r="878" spans="1:5" s="4" customFormat="1" ht="18" customHeight="1">
      <c r="A878" s="3" t="str">
        <f>"21342019072915134896472"</f>
        <v>21342019072915134896472</v>
      </c>
      <c r="B878" s="3" t="s">
        <v>6</v>
      </c>
      <c r="C878" s="3" t="str">
        <f>"潘丽"</f>
        <v>潘丽</v>
      </c>
      <c r="D878" s="3" t="str">
        <f t="shared" si="14"/>
        <v>女</v>
      </c>
      <c r="E878" s="3" t="str">
        <f>"1990-03-07"</f>
        <v>1990-03-07</v>
      </c>
    </row>
    <row r="879" spans="1:5" s="4" customFormat="1" ht="18" customHeight="1">
      <c r="A879" s="3" t="str">
        <f>"21342019072915172196475"</f>
        <v>21342019072915172196475</v>
      </c>
      <c r="B879" s="3" t="s">
        <v>6</v>
      </c>
      <c r="C879" s="3" t="str">
        <f>"吴冬梅"</f>
        <v>吴冬梅</v>
      </c>
      <c r="D879" s="3" t="str">
        <f t="shared" si="14"/>
        <v>女</v>
      </c>
      <c r="E879" s="3" t="str">
        <f>"1994-08-06"</f>
        <v>1994-08-06</v>
      </c>
    </row>
    <row r="880" spans="1:5" s="4" customFormat="1" ht="18" customHeight="1">
      <c r="A880" s="3" t="str">
        <f>"21342019072915192896477"</f>
        <v>21342019072915192896477</v>
      </c>
      <c r="B880" s="3" t="s">
        <v>6</v>
      </c>
      <c r="C880" s="3" t="str">
        <f>"王娇"</f>
        <v>王娇</v>
      </c>
      <c r="D880" s="3" t="str">
        <f t="shared" si="14"/>
        <v>女</v>
      </c>
      <c r="E880" s="3" t="str">
        <f>"1996-07-16"</f>
        <v>1996-07-16</v>
      </c>
    </row>
    <row r="881" spans="1:5" s="4" customFormat="1" ht="18" customHeight="1">
      <c r="A881" s="3" t="str">
        <f>"21342019072915253196481"</f>
        <v>21342019072915253196481</v>
      </c>
      <c r="B881" s="3" t="s">
        <v>6</v>
      </c>
      <c r="C881" s="3" t="str">
        <f>"黄小丽"</f>
        <v>黄小丽</v>
      </c>
      <c r="D881" s="3" t="str">
        <f t="shared" si="14"/>
        <v>女</v>
      </c>
      <c r="E881" s="3" t="str">
        <f>"1996-12-27"</f>
        <v>1996-12-27</v>
      </c>
    </row>
    <row r="882" spans="1:5" s="4" customFormat="1" ht="18" customHeight="1">
      <c r="A882" s="3" t="str">
        <f>"21342019072915281896484"</f>
        <v>21342019072915281896484</v>
      </c>
      <c r="B882" s="3" t="s">
        <v>6</v>
      </c>
      <c r="C882" s="3" t="str">
        <f>"何小灵"</f>
        <v>何小灵</v>
      </c>
      <c r="D882" s="3" t="str">
        <f t="shared" si="14"/>
        <v>女</v>
      </c>
      <c r="E882" s="3" t="str">
        <f>"1999-10-27"</f>
        <v>1999-10-27</v>
      </c>
    </row>
    <row r="883" spans="1:5" s="4" customFormat="1" ht="18" customHeight="1">
      <c r="A883" s="3" t="str">
        <f>"21342019072915310796487"</f>
        <v>21342019072915310796487</v>
      </c>
      <c r="B883" s="3" t="s">
        <v>6</v>
      </c>
      <c r="C883" s="3" t="str">
        <f>"金玉荣"</f>
        <v>金玉荣</v>
      </c>
      <c r="D883" s="3" t="str">
        <f t="shared" si="14"/>
        <v>女</v>
      </c>
      <c r="E883" s="3" t="str">
        <f>"1995-11-15"</f>
        <v>1995-11-15</v>
      </c>
    </row>
    <row r="884" spans="1:5" s="4" customFormat="1" ht="18" customHeight="1">
      <c r="A884" s="3" t="str">
        <f>"21342019072915394696495"</f>
        <v>21342019072915394696495</v>
      </c>
      <c r="B884" s="3" t="s">
        <v>6</v>
      </c>
      <c r="C884" s="3" t="str">
        <f>"刘秀玉"</f>
        <v>刘秀玉</v>
      </c>
      <c r="D884" s="3" t="str">
        <f t="shared" si="14"/>
        <v>女</v>
      </c>
      <c r="E884" s="3" t="str">
        <f>"1994-03-22"</f>
        <v>1994-03-22</v>
      </c>
    </row>
    <row r="885" spans="1:5" s="4" customFormat="1" ht="18" customHeight="1">
      <c r="A885" s="3" t="str">
        <f>"21342019072915430696499"</f>
        <v>21342019072915430696499</v>
      </c>
      <c r="B885" s="3" t="s">
        <v>6</v>
      </c>
      <c r="C885" s="3" t="str">
        <f>"王丽英"</f>
        <v>王丽英</v>
      </c>
      <c r="D885" s="3" t="str">
        <f t="shared" si="14"/>
        <v>女</v>
      </c>
      <c r="E885" s="3" t="str">
        <f>"1991-04-18"</f>
        <v>1991-04-18</v>
      </c>
    </row>
    <row r="886" spans="1:5" s="4" customFormat="1" ht="18" customHeight="1">
      <c r="A886" s="3" t="str">
        <f>"21342019072915431496500"</f>
        <v>21342019072915431496500</v>
      </c>
      <c r="B886" s="3" t="s">
        <v>6</v>
      </c>
      <c r="C886" s="3" t="str">
        <f>"黄楚楚"</f>
        <v>黄楚楚</v>
      </c>
      <c r="D886" s="3" t="str">
        <f t="shared" si="14"/>
        <v>女</v>
      </c>
      <c r="E886" s="3" t="str">
        <f>"1996-05-27"</f>
        <v>1996-05-27</v>
      </c>
    </row>
    <row r="887" spans="1:5" s="4" customFormat="1" ht="18" customHeight="1">
      <c r="A887" s="3" t="str">
        <f>"21342019072915435896502"</f>
        <v>21342019072915435896502</v>
      </c>
      <c r="B887" s="3" t="s">
        <v>6</v>
      </c>
      <c r="C887" s="3" t="str">
        <f>"谢明月"</f>
        <v>谢明月</v>
      </c>
      <c r="D887" s="3" t="str">
        <f t="shared" si="14"/>
        <v>女</v>
      </c>
      <c r="E887" s="3" t="str">
        <f>"1991-09-13"</f>
        <v>1991-09-13</v>
      </c>
    </row>
    <row r="888" spans="1:5" s="4" customFormat="1" ht="18" customHeight="1">
      <c r="A888" s="3" t="str">
        <f>"21342019072915492396505"</f>
        <v>21342019072915492396505</v>
      </c>
      <c r="B888" s="3" t="s">
        <v>6</v>
      </c>
      <c r="C888" s="3" t="str">
        <f>"李芳丽"</f>
        <v>李芳丽</v>
      </c>
      <c r="D888" s="3" t="str">
        <f t="shared" si="14"/>
        <v>女</v>
      </c>
      <c r="E888" s="3" t="str">
        <f>"1991-04-11"</f>
        <v>1991-04-11</v>
      </c>
    </row>
    <row r="889" spans="1:5" s="4" customFormat="1" ht="18" customHeight="1">
      <c r="A889" s="3" t="str">
        <f>"21342019072915510396507"</f>
        <v>21342019072915510396507</v>
      </c>
      <c r="B889" s="3" t="s">
        <v>6</v>
      </c>
      <c r="C889" s="3" t="str">
        <f>"李莉蓉"</f>
        <v>李莉蓉</v>
      </c>
      <c r="D889" s="3" t="str">
        <f t="shared" si="14"/>
        <v>女</v>
      </c>
      <c r="E889" s="3" t="str">
        <f>"1992-04-18"</f>
        <v>1992-04-18</v>
      </c>
    </row>
    <row r="890" spans="1:5" s="4" customFormat="1" ht="18" customHeight="1">
      <c r="A890" s="3" t="str">
        <f>"21342019072915530596508"</f>
        <v>21342019072915530596508</v>
      </c>
      <c r="B890" s="3" t="s">
        <v>6</v>
      </c>
      <c r="C890" s="3" t="str">
        <f>"王妹"</f>
        <v>王妹</v>
      </c>
      <c r="D890" s="3" t="str">
        <f t="shared" si="14"/>
        <v>女</v>
      </c>
      <c r="E890" s="3" t="str">
        <f>"1992-06-12"</f>
        <v>1992-06-12</v>
      </c>
    </row>
    <row r="891" spans="1:5" s="4" customFormat="1" ht="18" customHeight="1">
      <c r="A891" s="3" t="str">
        <f>"21342019072915531996510"</f>
        <v>21342019072915531996510</v>
      </c>
      <c r="B891" s="3" t="s">
        <v>6</v>
      </c>
      <c r="C891" s="3" t="str">
        <f>"周小玲"</f>
        <v>周小玲</v>
      </c>
      <c r="D891" s="3" t="str">
        <f t="shared" si="14"/>
        <v>女</v>
      </c>
      <c r="E891" s="3" t="str">
        <f>"1992-10-15"</f>
        <v>1992-10-15</v>
      </c>
    </row>
    <row r="892" spans="1:5" s="4" customFormat="1" ht="18" customHeight="1">
      <c r="A892" s="3" t="str">
        <f>"21342019072915582596512"</f>
        <v>21342019072915582596512</v>
      </c>
      <c r="B892" s="3" t="s">
        <v>6</v>
      </c>
      <c r="C892" s="3" t="str">
        <f>"蔡姗祺"</f>
        <v>蔡姗祺</v>
      </c>
      <c r="D892" s="3" t="str">
        <f t="shared" si="14"/>
        <v>女</v>
      </c>
      <c r="E892" s="3" t="str">
        <f>"1997-07-15"</f>
        <v>1997-07-15</v>
      </c>
    </row>
    <row r="893" spans="1:5" s="4" customFormat="1" ht="18" customHeight="1">
      <c r="A893" s="3" t="str">
        <f>"21342019072916014796516"</f>
        <v>21342019072916014796516</v>
      </c>
      <c r="B893" s="3" t="s">
        <v>6</v>
      </c>
      <c r="C893" s="3" t="str">
        <f>"陈延丽"</f>
        <v>陈延丽</v>
      </c>
      <c r="D893" s="3" t="str">
        <f t="shared" si="14"/>
        <v>女</v>
      </c>
      <c r="E893" s="3" t="str">
        <f>"1994-03-29"</f>
        <v>1994-03-29</v>
      </c>
    </row>
    <row r="894" spans="1:5" s="4" customFormat="1" ht="18" customHeight="1">
      <c r="A894" s="3" t="str">
        <f>"21342019072916023096518"</f>
        <v>21342019072916023096518</v>
      </c>
      <c r="B894" s="3" t="s">
        <v>6</v>
      </c>
      <c r="C894" s="3" t="str">
        <f>"周彩凤"</f>
        <v>周彩凤</v>
      </c>
      <c r="D894" s="3" t="str">
        <f t="shared" si="14"/>
        <v>女</v>
      </c>
      <c r="E894" s="3" t="str">
        <f>"1996-04-09"</f>
        <v>1996-04-09</v>
      </c>
    </row>
    <row r="895" spans="1:5" s="4" customFormat="1" ht="18" customHeight="1">
      <c r="A895" s="3" t="str">
        <f>"21342019072916060696524"</f>
        <v>21342019072916060696524</v>
      </c>
      <c r="B895" s="3" t="s">
        <v>6</v>
      </c>
      <c r="C895" s="3" t="str">
        <f>"蔡夹盈"</f>
        <v>蔡夹盈</v>
      </c>
      <c r="D895" s="3" t="str">
        <f t="shared" si="14"/>
        <v>女</v>
      </c>
      <c r="E895" s="3" t="str">
        <f>"1995-11-13"</f>
        <v>1995-11-13</v>
      </c>
    </row>
    <row r="896" spans="1:5" s="4" customFormat="1" ht="18" customHeight="1">
      <c r="A896" s="3" t="str">
        <f>"21342019072916122096529"</f>
        <v>21342019072916122096529</v>
      </c>
      <c r="B896" s="3" t="s">
        <v>6</v>
      </c>
      <c r="C896" s="3" t="str">
        <f>"文凤纯"</f>
        <v>文凤纯</v>
      </c>
      <c r="D896" s="3" t="str">
        <f t="shared" si="14"/>
        <v>女</v>
      </c>
      <c r="E896" s="3" t="str">
        <f>"1994-10-15"</f>
        <v>1994-10-15</v>
      </c>
    </row>
    <row r="897" spans="1:5" s="4" customFormat="1" ht="18" customHeight="1">
      <c r="A897" s="3" t="str">
        <f>"21342019072916133396530"</f>
        <v>21342019072916133396530</v>
      </c>
      <c r="B897" s="3" t="s">
        <v>6</v>
      </c>
      <c r="C897" s="3" t="str">
        <f>"王海燕"</f>
        <v>王海燕</v>
      </c>
      <c r="D897" s="3" t="str">
        <f t="shared" si="14"/>
        <v>女</v>
      </c>
      <c r="E897" s="3" t="str">
        <f>"1996-11-20"</f>
        <v>1996-11-20</v>
      </c>
    </row>
    <row r="898" spans="1:5" s="4" customFormat="1" ht="18" customHeight="1">
      <c r="A898" s="3" t="str">
        <f>"21342019072916263096542"</f>
        <v>21342019072916263096542</v>
      </c>
      <c r="B898" s="3" t="s">
        <v>6</v>
      </c>
      <c r="C898" s="3" t="str">
        <f>"林填"</f>
        <v>林填</v>
      </c>
      <c r="D898" s="3" t="str">
        <f t="shared" si="14"/>
        <v>女</v>
      </c>
      <c r="E898" s="3" t="str">
        <f>"1994-12-13"</f>
        <v>1994-12-13</v>
      </c>
    </row>
    <row r="899" spans="1:5" s="4" customFormat="1" ht="18" customHeight="1">
      <c r="A899" s="3" t="str">
        <f>"21342019072916273196543"</f>
        <v>21342019072916273196543</v>
      </c>
      <c r="B899" s="3" t="s">
        <v>6</v>
      </c>
      <c r="C899" s="3" t="str">
        <f>"李秋妍"</f>
        <v>李秋妍</v>
      </c>
      <c r="D899" s="3" t="str">
        <f t="shared" si="14"/>
        <v>女</v>
      </c>
      <c r="E899" s="3" t="str">
        <f>"1992-08-23"</f>
        <v>1992-08-23</v>
      </c>
    </row>
    <row r="900" spans="1:5" s="4" customFormat="1" ht="18" customHeight="1">
      <c r="A900" s="3" t="str">
        <f>"21342019072916312496544"</f>
        <v>21342019072916312496544</v>
      </c>
      <c r="B900" s="3" t="s">
        <v>6</v>
      </c>
      <c r="C900" s="3" t="str">
        <f>"谢小妹"</f>
        <v>谢小妹</v>
      </c>
      <c r="D900" s="3" t="str">
        <f t="shared" si="14"/>
        <v>女</v>
      </c>
      <c r="E900" s="3" t="str">
        <f>"1995-07-14"</f>
        <v>1995-07-14</v>
      </c>
    </row>
    <row r="901" spans="1:5" s="4" customFormat="1" ht="18" customHeight="1">
      <c r="A901" s="3" t="str">
        <f>"21342019072916331996549"</f>
        <v>21342019072916331996549</v>
      </c>
      <c r="B901" s="3" t="s">
        <v>6</v>
      </c>
      <c r="C901" s="3" t="str">
        <f>"柳美婷"</f>
        <v>柳美婷</v>
      </c>
      <c r="D901" s="3" t="str">
        <f t="shared" si="14"/>
        <v>女</v>
      </c>
      <c r="E901" s="3" t="str">
        <f>"1995-06-16"</f>
        <v>1995-06-16</v>
      </c>
    </row>
    <row r="902" spans="1:5" s="4" customFormat="1" ht="18" customHeight="1">
      <c r="A902" s="3" t="str">
        <f>"21342019072916375896553"</f>
        <v>21342019072916375896553</v>
      </c>
      <c r="B902" s="3" t="s">
        <v>6</v>
      </c>
      <c r="C902" s="3" t="str">
        <f>"吴双秀"</f>
        <v>吴双秀</v>
      </c>
      <c r="D902" s="3" t="str">
        <f t="shared" si="14"/>
        <v>女</v>
      </c>
      <c r="E902" s="3" t="str">
        <f>"1992-10-27"</f>
        <v>1992-10-27</v>
      </c>
    </row>
    <row r="903" spans="1:5" s="4" customFormat="1" ht="18" customHeight="1">
      <c r="A903" s="3" t="str">
        <f>"21342019072916384796556"</f>
        <v>21342019072916384796556</v>
      </c>
      <c r="B903" s="3" t="s">
        <v>6</v>
      </c>
      <c r="C903" s="3" t="str">
        <f>"符力文"</f>
        <v>符力文</v>
      </c>
      <c r="D903" s="3" t="str">
        <f t="shared" si="14"/>
        <v>女</v>
      </c>
      <c r="E903" s="3" t="str">
        <f>"1989-10-30"</f>
        <v>1989-10-30</v>
      </c>
    </row>
    <row r="904" spans="1:5" s="4" customFormat="1" ht="18" customHeight="1">
      <c r="A904" s="3" t="str">
        <f>"21342019072916400296557"</f>
        <v>21342019072916400296557</v>
      </c>
      <c r="B904" s="3" t="s">
        <v>6</v>
      </c>
      <c r="C904" s="3" t="str">
        <f>"陈世风"</f>
        <v>陈世风</v>
      </c>
      <c r="D904" s="3" t="str">
        <f t="shared" si="14"/>
        <v>女</v>
      </c>
      <c r="E904" s="3" t="str">
        <f>"1994-08-12"</f>
        <v>1994-08-12</v>
      </c>
    </row>
    <row r="905" spans="1:5" s="4" customFormat="1" ht="18" customHeight="1">
      <c r="A905" s="3" t="str">
        <f>"21342019072916403596558"</f>
        <v>21342019072916403596558</v>
      </c>
      <c r="B905" s="3" t="s">
        <v>6</v>
      </c>
      <c r="C905" s="3" t="str">
        <f>"王会莉"</f>
        <v>王会莉</v>
      </c>
      <c r="D905" s="3" t="str">
        <f t="shared" si="14"/>
        <v>女</v>
      </c>
      <c r="E905" s="3" t="str">
        <f>"1994-01-06"</f>
        <v>1994-01-06</v>
      </c>
    </row>
    <row r="906" spans="1:5" s="4" customFormat="1" ht="18" customHeight="1">
      <c r="A906" s="3" t="str">
        <f>"21342019072916410696559"</f>
        <v>21342019072916410696559</v>
      </c>
      <c r="B906" s="3" t="s">
        <v>6</v>
      </c>
      <c r="C906" s="3" t="str">
        <f>"温霜"</f>
        <v>温霜</v>
      </c>
      <c r="D906" s="3" t="str">
        <f t="shared" si="14"/>
        <v>女</v>
      </c>
      <c r="E906" s="3" t="str">
        <f>"1994-08-08"</f>
        <v>1994-08-08</v>
      </c>
    </row>
    <row r="907" spans="1:5" s="4" customFormat="1" ht="18" customHeight="1">
      <c r="A907" s="3" t="str">
        <f>"21342019072916485296563"</f>
        <v>21342019072916485296563</v>
      </c>
      <c r="B907" s="3" t="s">
        <v>6</v>
      </c>
      <c r="C907" s="3" t="str">
        <f>"吴棉"</f>
        <v>吴棉</v>
      </c>
      <c r="D907" s="3" t="str">
        <f t="shared" si="14"/>
        <v>女</v>
      </c>
      <c r="E907" s="3" t="str">
        <f>"1993-06-20"</f>
        <v>1993-06-20</v>
      </c>
    </row>
    <row r="908" spans="1:5" s="4" customFormat="1" ht="18" customHeight="1">
      <c r="A908" s="3" t="str">
        <f>"21342019072916515696566"</f>
        <v>21342019072916515696566</v>
      </c>
      <c r="B908" s="3" t="s">
        <v>6</v>
      </c>
      <c r="C908" s="3" t="str">
        <f>"李海玉"</f>
        <v>李海玉</v>
      </c>
      <c r="D908" s="3" t="str">
        <f t="shared" si="14"/>
        <v>女</v>
      </c>
      <c r="E908" s="3" t="str">
        <f>"1994-11-14"</f>
        <v>1994-11-14</v>
      </c>
    </row>
    <row r="909" spans="1:5" s="4" customFormat="1" ht="18" customHeight="1">
      <c r="A909" s="3" t="str">
        <f>"21342019072916550596571"</f>
        <v>21342019072916550596571</v>
      </c>
      <c r="B909" s="3" t="s">
        <v>6</v>
      </c>
      <c r="C909" s="3" t="str">
        <f>"余莹莹"</f>
        <v>余莹莹</v>
      </c>
      <c r="D909" s="3" t="str">
        <f t="shared" si="14"/>
        <v>女</v>
      </c>
      <c r="E909" s="3" t="str">
        <f>"1993-08-22"</f>
        <v>1993-08-22</v>
      </c>
    </row>
    <row r="910" spans="1:5" s="4" customFormat="1" ht="18" customHeight="1">
      <c r="A910" s="3" t="str">
        <f>"21342019072916591396573"</f>
        <v>21342019072916591396573</v>
      </c>
      <c r="B910" s="3" t="s">
        <v>6</v>
      </c>
      <c r="C910" s="3" t="str">
        <f>"林梦依"</f>
        <v>林梦依</v>
      </c>
      <c r="D910" s="3" t="str">
        <f t="shared" si="14"/>
        <v>女</v>
      </c>
      <c r="E910" s="3" t="str">
        <f>"1997-09-06"</f>
        <v>1997-09-06</v>
      </c>
    </row>
    <row r="911" spans="1:5" s="4" customFormat="1" ht="18" customHeight="1">
      <c r="A911" s="3" t="str">
        <f>"21342019072917034196575"</f>
        <v>21342019072917034196575</v>
      </c>
      <c r="B911" s="3" t="s">
        <v>6</v>
      </c>
      <c r="C911" s="3" t="str">
        <f>"黄冰"</f>
        <v>黄冰</v>
      </c>
      <c r="D911" s="3" t="str">
        <f t="shared" si="14"/>
        <v>女</v>
      </c>
      <c r="E911" s="3" t="str">
        <f>"1996-06-30"</f>
        <v>1996-06-30</v>
      </c>
    </row>
    <row r="912" spans="1:5" s="4" customFormat="1" ht="18" customHeight="1">
      <c r="A912" s="3" t="str">
        <f>"21342019072917072796578"</f>
        <v>21342019072917072796578</v>
      </c>
      <c r="B912" s="3" t="s">
        <v>6</v>
      </c>
      <c r="C912" s="3" t="str">
        <f>"陈丹婷"</f>
        <v>陈丹婷</v>
      </c>
      <c r="D912" s="3" t="str">
        <f t="shared" si="14"/>
        <v>女</v>
      </c>
      <c r="E912" s="3" t="str">
        <f>"1996-06-20"</f>
        <v>1996-06-20</v>
      </c>
    </row>
    <row r="913" spans="1:5" s="4" customFormat="1" ht="18" customHeight="1">
      <c r="A913" s="3" t="str">
        <f>"21342019072917075096579"</f>
        <v>21342019072917075096579</v>
      </c>
      <c r="B913" s="3" t="s">
        <v>6</v>
      </c>
      <c r="C913" s="3" t="str">
        <f>"王利娜"</f>
        <v>王利娜</v>
      </c>
      <c r="D913" s="3" t="str">
        <f t="shared" si="14"/>
        <v>女</v>
      </c>
      <c r="E913" s="3" t="str">
        <f>"1990-08-14"</f>
        <v>1990-08-14</v>
      </c>
    </row>
    <row r="914" spans="1:5" s="4" customFormat="1" ht="18" customHeight="1">
      <c r="A914" s="3" t="str">
        <f>"21342019072917180496581"</f>
        <v>21342019072917180496581</v>
      </c>
      <c r="B914" s="3" t="s">
        <v>6</v>
      </c>
      <c r="C914" s="3" t="str">
        <f>"邓刘琼"</f>
        <v>邓刘琼</v>
      </c>
      <c r="D914" s="3" t="str">
        <f t="shared" si="14"/>
        <v>女</v>
      </c>
      <c r="E914" s="3" t="str">
        <f>"1992-03-08"</f>
        <v>1992-03-08</v>
      </c>
    </row>
    <row r="915" spans="1:5" s="4" customFormat="1" ht="18" customHeight="1">
      <c r="A915" s="3" t="str">
        <f>"21342019072917254196582"</f>
        <v>21342019072917254196582</v>
      </c>
      <c r="B915" s="3" t="s">
        <v>6</v>
      </c>
      <c r="C915" s="3" t="str">
        <f>"吴秀南"</f>
        <v>吴秀南</v>
      </c>
      <c r="D915" s="3" t="str">
        <f aca="true" t="shared" si="15" ref="D915:D978">"女"</f>
        <v>女</v>
      </c>
      <c r="E915" s="3" t="str">
        <f>"1994-11-17"</f>
        <v>1994-11-17</v>
      </c>
    </row>
    <row r="916" spans="1:5" s="4" customFormat="1" ht="18" customHeight="1">
      <c r="A916" s="3" t="str">
        <f>"21342019072917305296584"</f>
        <v>21342019072917305296584</v>
      </c>
      <c r="B916" s="3" t="s">
        <v>6</v>
      </c>
      <c r="C916" s="3" t="str">
        <f>"梁淑婷"</f>
        <v>梁淑婷</v>
      </c>
      <c r="D916" s="3" t="str">
        <f t="shared" si="15"/>
        <v>女</v>
      </c>
      <c r="E916" s="3" t="str">
        <f>"1993-10-02"</f>
        <v>1993-10-02</v>
      </c>
    </row>
    <row r="917" spans="1:5" s="4" customFormat="1" ht="18" customHeight="1">
      <c r="A917" s="3" t="str">
        <f>"21342019072917405596588"</f>
        <v>21342019072917405596588</v>
      </c>
      <c r="B917" s="3" t="s">
        <v>6</v>
      </c>
      <c r="C917" s="3" t="str">
        <f>"王燕丹"</f>
        <v>王燕丹</v>
      </c>
      <c r="D917" s="3" t="str">
        <f t="shared" si="15"/>
        <v>女</v>
      </c>
      <c r="E917" s="3" t="str">
        <f>"1995-02-21"</f>
        <v>1995-02-21</v>
      </c>
    </row>
    <row r="918" spans="1:5" s="4" customFormat="1" ht="18" customHeight="1">
      <c r="A918" s="3" t="str">
        <f>"21342019072917422496589"</f>
        <v>21342019072917422496589</v>
      </c>
      <c r="B918" s="3" t="s">
        <v>6</v>
      </c>
      <c r="C918" s="3" t="str">
        <f>"林燕南"</f>
        <v>林燕南</v>
      </c>
      <c r="D918" s="3" t="str">
        <f t="shared" si="15"/>
        <v>女</v>
      </c>
      <c r="E918" s="3" t="str">
        <f>"1995-10-27"</f>
        <v>1995-10-27</v>
      </c>
    </row>
    <row r="919" spans="1:5" s="4" customFormat="1" ht="18" customHeight="1">
      <c r="A919" s="3" t="str">
        <f>"21342019072917440996592"</f>
        <v>21342019072917440996592</v>
      </c>
      <c r="B919" s="3" t="s">
        <v>6</v>
      </c>
      <c r="C919" s="3" t="str">
        <f>"倪榕娇"</f>
        <v>倪榕娇</v>
      </c>
      <c r="D919" s="3" t="str">
        <f t="shared" si="15"/>
        <v>女</v>
      </c>
      <c r="E919" s="3" t="str">
        <f>"1998-03-14"</f>
        <v>1998-03-14</v>
      </c>
    </row>
    <row r="920" spans="1:5" s="4" customFormat="1" ht="18" customHeight="1">
      <c r="A920" s="3" t="str">
        <f>"21342019072917443896593"</f>
        <v>21342019072917443896593</v>
      </c>
      <c r="B920" s="3" t="s">
        <v>6</v>
      </c>
      <c r="C920" s="3" t="str">
        <f>"柳忠慧"</f>
        <v>柳忠慧</v>
      </c>
      <c r="D920" s="3" t="str">
        <f t="shared" si="15"/>
        <v>女</v>
      </c>
      <c r="E920" s="3" t="str">
        <f>"1995-07-08"</f>
        <v>1995-07-08</v>
      </c>
    </row>
    <row r="921" spans="1:5" s="4" customFormat="1" ht="18" customHeight="1">
      <c r="A921" s="3" t="str">
        <f>"21342019072917520096595"</f>
        <v>21342019072917520096595</v>
      </c>
      <c r="B921" s="3" t="s">
        <v>6</v>
      </c>
      <c r="C921" s="3" t="str">
        <f>"莫燕波"</f>
        <v>莫燕波</v>
      </c>
      <c r="D921" s="3" t="str">
        <f t="shared" si="15"/>
        <v>女</v>
      </c>
      <c r="E921" s="3" t="str">
        <f>"1993-12-21"</f>
        <v>1993-12-21</v>
      </c>
    </row>
    <row r="922" spans="1:5" s="4" customFormat="1" ht="18" customHeight="1">
      <c r="A922" s="3" t="str">
        <f>"21342019072917525296597"</f>
        <v>21342019072917525296597</v>
      </c>
      <c r="B922" s="3" t="s">
        <v>6</v>
      </c>
      <c r="C922" s="3" t="str">
        <f>"王晓丽"</f>
        <v>王晓丽</v>
      </c>
      <c r="D922" s="3" t="str">
        <f t="shared" si="15"/>
        <v>女</v>
      </c>
      <c r="E922" s="3" t="str">
        <f>"1996-02-06"</f>
        <v>1996-02-06</v>
      </c>
    </row>
    <row r="923" spans="1:5" s="4" customFormat="1" ht="18" customHeight="1">
      <c r="A923" s="3" t="str">
        <f>"21342019072917585896599"</f>
        <v>21342019072917585896599</v>
      </c>
      <c r="B923" s="3" t="s">
        <v>6</v>
      </c>
      <c r="C923" s="3" t="str">
        <f>"陈美嘉"</f>
        <v>陈美嘉</v>
      </c>
      <c r="D923" s="3" t="str">
        <f t="shared" si="15"/>
        <v>女</v>
      </c>
      <c r="E923" s="3" t="str">
        <f>"1997-09-03"</f>
        <v>1997-09-03</v>
      </c>
    </row>
    <row r="924" spans="1:5" s="4" customFormat="1" ht="18" customHeight="1">
      <c r="A924" s="3" t="str">
        <f>"21342019072918092796601"</f>
        <v>21342019072918092796601</v>
      </c>
      <c r="B924" s="3" t="s">
        <v>6</v>
      </c>
      <c r="C924" s="3" t="str">
        <f>"谢秋桂"</f>
        <v>谢秋桂</v>
      </c>
      <c r="D924" s="3" t="str">
        <f t="shared" si="15"/>
        <v>女</v>
      </c>
      <c r="E924" s="3" t="str">
        <f>"1990-08-30"</f>
        <v>1990-08-30</v>
      </c>
    </row>
    <row r="925" spans="1:5" s="4" customFormat="1" ht="18" customHeight="1">
      <c r="A925" s="3" t="str">
        <f>"21342019072918202896606"</f>
        <v>21342019072918202896606</v>
      </c>
      <c r="B925" s="3" t="s">
        <v>6</v>
      </c>
      <c r="C925" s="3" t="str">
        <f>"王红莉"</f>
        <v>王红莉</v>
      </c>
      <c r="D925" s="3" t="str">
        <f t="shared" si="15"/>
        <v>女</v>
      </c>
      <c r="E925" s="3" t="str">
        <f>"1992-10-05"</f>
        <v>1992-10-05</v>
      </c>
    </row>
    <row r="926" spans="1:5" s="4" customFormat="1" ht="18" customHeight="1">
      <c r="A926" s="3" t="str">
        <f>"21342019072918255796607"</f>
        <v>21342019072918255796607</v>
      </c>
      <c r="B926" s="3" t="s">
        <v>6</v>
      </c>
      <c r="C926" s="3" t="str">
        <f>"侯圆圆"</f>
        <v>侯圆圆</v>
      </c>
      <c r="D926" s="3" t="str">
        <f t="shared" si="15"/>
        <v>女</v>
      </c>
      <c r="E926" s="3" t="str">
        <f>"1995-10-09"</f>
        <v>1995-10-09</v>
      </c>
    </row>
    <row r="927" spans="1:5" s="4" customFormat="1" ht="18" customHeight="1">
      <c r="A927" s="3" t="str">
        <f>"21342019072918264696608"</f>
        <v>21342019072918264696608</v>
      </c>
      <c r="B927" s="3" t="s">
        <v>6</v>
      </c>
      <c r="C927" s="3" t="str">
        <f>"梁小转"</f>
        <v>梁小转</v>
      </c>
      <c r="D927" s="3" t="str">
        <f t="shared" si="15"/>
        <v>女</v>
      </c>
      <c r="E927" s="3" t="str">
        <f>"1992-11-14"</f>
        <v>1992-11-14</v>
      </c>
    </row>
    <row r="928" spans="1:5" s="4" customFormat="1" ht="18" customHeight="1">
      <c r="A928" s="3" t="str">
        <f>"21342019072918353896613"</f>
        <v>21342019072918353896613</v>
      </c>
      <c r="B928" s="3" t="s">
        <v>6</v>
      </c>
      <c r="C928" s="3" t="str">
        <f>"韦丽果"</f>
        <v>韦丽果</v>
      </c>
      <c r="D928" s="3" t="str">
        <f t="shared" si="15"/>
        <v>女</v>
      </c>
      <c r="E928" s="3" t="str">
        <f>"1991-09-02"</f>
        <v>1991-09-02</v>
      </c>
    </row>
    <row r="929" spans="1:5" s="4" customFormat="1" ht="18" customHeight="1">
      <c r="A929" s="3" t="str">
        <f>"21342019072918375696614"</f>
        <v>21342019072918375696614</v>
      </c>
      <c r="B929" s="3" t="s">
        <v>6</v>
      </c>
      <c r="C929" s="3" t="str">
        <f>"朱以玲"</f>
        <v>朱以玲</v>
      </c>
      <c r="D929" s="3" t="str">
        <f t="shared" si="15"/>
        <v>女</v>
      </c>
      <c r="E929" s="3" t="str">
        <f>"1993-07-08"</f>
        <v>1993-07-08</v>
      </c>
    </row>
    <row r="930" spans="1:5" s="4" customFormat="1" ht="18" customHeight="1">
      <c r="A930" s="3" t="str">
        <f>"21342019072918503096619"</f>
        <v>21342019072918503096619</v>
      </c>
      <c r="B930" s="3" t="s">
        <v>6</v>
      </c>
      <c r="C930" s="3" t="str">
        <f>"陈美容"</f>
        <v>陈美容</v>
      </c>
      <c r="D930" s="3" t="str">
        <f t="shared" si="15"/>
        <v>女</v>
      </c>
      <c r="E930" s="3" t="str">
        <f>"1990-03-22"</f>
        <v>1990-03-22</v>
      </c>
    </row>
    <row r="931" spans="1:5" s="4" customFormat="1" ht="18" customHeight="1">
      <c r="A931" s="3" t="str">
        <f>"21342019072918535096620"</f>
        <v>21342019072918535096620</v>
      </c>
      <c r="B931" s="3" t="s">
        <v>6</v>
      </c>
      <c r="C931" s="3" t="str">
        <f>"薛丹侬"</f>
        <v>薛丹侬</v>
      </c>
      <c r="D931" s="3" t="str">
        <f t="shared" si="15"/>
        <v>女</v>
      </c>
      <c r="E931" s="3" t="str">
        <f>"1989-12-28"</f>
        <v>1989-12-28</v>
      </c>
    </row>
    <row r="932" spans="1:5" s="4" customFormat="1" ht="18" customHeight="1">
      <c r="A932" s="3" t="str">
        <f>"21342019072918542496621"</f>
        <v>21342019072918542496621</v>
      </c>
      <c r="B932" s="3" t="s">
        <v>6</v>
      </c>
      <c r="C932" s="3" t="str">
        <f>"陈菊花"</f>
        <v>陈菊花</v>
      </c>
      <c r="D932" s="3" t="str">
        <f t="shared" si="15"/>
        <v>女</v>
      </c>
      <c r="E932" s="3" t="str">
        <f>"1996-12-08"</f>
        <v>1996-12-08</v>
      </c>
    </row>
    <row r="933" spans="1:5" s="4" customFormat="1" ht="18" customHeight="1">
      <c r="A933" s="3" t="str">
        <f>"21342019072918581896625"</f>
        <v>21342019072918581896625</v>
      </c>
      <c r="B933" s="3" t="s">
        <v>6</v>
      </c>
      <c r="C933" s="3" t="str">
        <f>"符欣"</f>
        <v>符欣</v>
      </c>
      <c r="D933" s="3" t="str">
        <f t="shared" si="15"/>
        <v>女</v>
      </c>
      <c r="E933" s="3" t="str">
        <f>"1990-10-30"</f>
        <v>1990-10-30</v>
      </c>
    </row>
    <row r="934" spans="1:5" s="4" customFormat="1" ht="18" customHeight="1">
      <c r="A934" s="3" t="str">
        <f>"21342019072919042496628"</f>
        <v>21342019072919042496628</v>
      </c>
      <c r="B934" s="3" t="s">
        <v>6</v>
      </c>
      <c r="C934" s="3" t="str">
        <f>"邱小蕊"</f>
        <v>邱小蕊</v>
      </c>
      <c r="D934" s="3" t="str">
        <f t="shared" si="15"/>
        <v>女</v>
      </c>
      <c r="E934" s="3" t="str">
        <f>"1994-03-10"</f>
        <v>1994-03-10</v>
      </c>
    </row>
    <row r="935" spans="1:5" s="4" customFormat="1" ht="18" customHeight="1">
      <c r="A935" s="3" t="str">
        <f>"21342019072919055696629"</f>
        <v>21342019072919055696629</v>
      </c>
      <c r="B935" s="3" t="s">
        <v>6</v>
      </c>
      <c r="C935" s="3" t="str">
        <f>"王利莹"</f>
        <v>王利莹</v>
      </c>
      <c r="D935" s="3" t="str">
        <f t="shared" si="15"/>
        <v>女</v>
      </c>
      <c r="E935" s="3" t="str">
        <f>"1995-07-26"</f>
        <v>1995-07-26</v>
      </c>
    </row>
    <row r="936" spans="1:5" s="4" customFormat="1" ht="18" customHeight="1">
      <c r="A936" s="3" t="str">
        <f>"21342019072919074596630"</f>
        <v>21342019072919074596630</v>
      </c>
      <c r="B936" s="3" t="s">
        <v>6</v>
      </c>
      <c r="C936" s="3" t="str">
        <f>"陈苏盈"</f>
        <v>陈苏盈</v>
      </c>
      <c r="D936" s="3" t="str">
        <f t="shared" si="15"/>
        <v>女</v>
      </c>
      <c r="E936" s="3" t="str">
        <f>"1995-06-25"</f>
        <v>1995-06-25</v>
      </c>
    </row>
    <row r="937" spans="1:5" s="4" customFormat="1" ht="18" customHeight="1">
      <c r="A937" s="3" t="str">
        <f>"21342019072919101596631"</f>
        <v>21342019072919101596631</v>
      </c>
      <c r="B937" s="3" t="s">
        <v>6</v>
      </c>
      <c r="C937" s="3" t="str">
        <f>"莫壮颖"</f>
        <v>莫壮颖</v>
      </c>
      <c r="D937" s="3" t="str">
        <f t="shared" si="15"/>
        <v>女</v>
      </c>
      <c r="E937" s="3" t="str">
        <f>"1995-06-28"</f>
        <v>1995-06-28</v>
      </c>
    </row>
    <row r="938" spans="1:5" s="4" customFormat="1" ht="18" customHeight="1">
      <c r="A938" s="3" t="str">
        <f>"21342019072919103896632"</f>
        <v>21342019072919103896632</v>
      </c>
      <c r="B938" s="3" t="s">
        <v>6</v>
      </c>
      <c r="C938" s="3" t="str">
        <f>"罗惠芬"</f>
        <v>罗惠芬</v>
      </c>
      <c r="D938" s="3" t="str">
        <f t="shared" si="15"/>
        <v>女</v>
      </c>
      <c r="E938" s="3" t="str">
        <f>"1990-12-18"</f>
        <v>1990-12-18</v>
      </c>
    </row>
    <row r="939" spans="1:5" s="4" customFormat="1" ht="18" customHeight="1">
      <c r="A939" s="3" t="str">
        <f>"21342019072919181096634"</f>
        <v>21342019072919181096634</v>
      </c>
      <c r="B939" s="3" t="s">
        <v>6</v>
      </c>
      <c r="C939" s="3" t="str">
        <f>"符燕春"</f>
        <v>符燕春</v>
      </c>
      <c r="D939" s="3" t="str">
        <f t="shared" si="15"/>
        <v>女</v>
      </c>
      <c r="E939" s="3" t="str">
        <f>"1991-06-10"</f>
        <v>1991-06-10</v>
      </c>
    </row>
    <row r="940" spans="1:5" s="4" customFormat="1" ht="18" customHeight="1">
      <c r="A940" s="3" t="str">
        <f>"21342019072919291796638"</f>
        <v>21342019072919291796638</v>
      </c>
      <c r="B940" s="3" t="s">
        <v>6</v>
      </c>
      <c r="C940" s="3" t="str">
        <f>"孙少云"</f>
        <v>孙少云</v>
      </c>
      <c r="D940" s="3" t="str">
        <f t="shared" si="15"/>
        <v>女</v>
      </c>
      <c r="E940" s="3" t="str">
        <f>"1994-06-19"</f>
        <v>1994-06-19</v>
      </c>
    </row>
    <row r="941" spans="1:5" s="4" customFormat="1" ht="18" customHeight="1">
      <c r="A941" s="3" t="str">
        <f>"21342019072919313196639"</f>
        <v>21342019072919313196639</v>
      </c>
      <c r="B941" s="3" t="s">
        <v>6</v>
      </c>
      <c r="C941" s="3" t="str">
        <f>"钟丹娜"</f>
        <v>钟丹娜</v>
      </c>
      <c r="D941" s="3" t="str">
        <f t="shared" si="15"/>
        <v>女</v>
      </c>
      <c r="E941" s="3" t="str">
        <f>"1994-07-28"</f>
        <v>1994-07-28</v>
      </c>
    </row>
    <row r="942" spans="1:5" s="4" customFormat="1" ht="18" customHeight="1">
      <c r="A942" s="3" t="str">
        <f>"21342019072919325596640"</f>
        <v>21342019072919325596640</v>
      </c>
      <c r="B942" s="3" t="s">
        <v>6</v>
      </c>
      <c r="C942" s="3" t="str">
        <f>"符淑连"</f>
        <v>符淑连</v>
      </c>
      <c r="D942" s="3" t="str">
        <f t="shared" si="15"/>
        <v>女</v>
      </c>
      <c r="E942" s="3" t="str">
        <f>"1989-12-18"</f>
        <v>1989-12-18</v>
      </c>
    </row>
    <row r="943" spans="1:5" s="4" customFormat="1" ht="18" customHeight="1">
      <c r="A943" s="3" t="str">
        <f>"21342019072919335196641"</f>
        <v>21342019072919335196641</v>
      </c>
      <c r="B943" s="3" t="s">
        <v>6</v>
      </c>
      <c r="C943" s="3" t="str">
        <f>"罗丁微"</f>
        <v>罗丁微</v>
      </c>
      <c r="D943" s="3" t="str">
        <f t="shared" si="15"/>
        <v>女</v>
      </c>
      <c r="E943" s="3" t="str">
        <f>"1994-10-07"</f>
        <v>1994-10-07</v>
      </c>
    </row>
    <row r="944" spans="1:5" s="4" customFormat="1" ht="18" customHeight="1">
      <c r="A944" s="3" t="str">
        <f>"21342019072919341396642"</f>
        <v>21342019072919341396642</v>
      </c>
      <c r="B944" s="3" t="s">
        <v>6</v>
      </c>
      <c r="C944" s="3" t="str">
        <f>"陈石彩"</f>
        <v>陈石彩</v>
      </c>
      <c r="D944" s="3" t="str">
        <f t="shared" si="15"/>
        <v>女</v>
      </c>
      <c r="E944" s="3" t="str">
        <f>"1994-10-12"</f>
        <v>1994-10-12</v>
      </c>
    </row>
    <row r="945" spans="1:5" s="4" customFormat="1" ht="18" customHeight="1">
      <c r="A945" s="3" t="str">
        <f>"21342019072919342796643"</f>
        <v>21342019072919342796643</v>
      </c>
      <c r="B945" s="3" t="s">
        <v>6</v>
      </c>
      <c r="C945" s="3" t="str">
        <f>"曾春娜"</f>
        <v>曾春娜</v>
      </c>
      <c r="D945" s="3" t="str">
        <f t="shared" si="15"/>
        <v>女</v>
      </c>
      <c r="E945" s="3" t="str">
        <f>"1997-04-07"</f>
        <v>1997-04-07</v>
      </c>
    </row>
    <row r="946" spans="1:5" s="4" customFormat="1" ht="18" customHeight="1">
      <c r="A946" s="3" t="str">
        <f>"21342019072919362596646"</f>
        <v>21342019072919362596646</v>
      </c>
      <c r="B946" s="3" t="s">
        <v>6</v>
      </c>
      <c r="C946" s="3" t="str">
        <f>"黎娜"</f>
        <v>黎娜</v>
      </c>
      <c r="D946" s="3" t="str">
        <f t="shared" si="15"/>
        <v>女</v>
      </c>
      <c r="E946" s="3" t="str">
        <f>"1991-12-22"</f>
        <v>1991-12-22</v>
      </c>
    </row>
    <row r="947" spans="1:5" s="4" customFormat="1" ht="18" customHeight="1">
      <c r="A947" s="3" t="str">
        <f>"21342019072919363896647"</f>
        <v>21342019072919363896647</v>
      </c>
      <c r="B947" s="3" t="s">
        <v>6</v>
      </c>
      <c r="C947" s="3" t="str">
        <f>"邢增莉"</f>
        <v>邢增莉</v>
      </c>
      <c r="D947" s="3" t="str">
        <f t="shared" si="15"/>
        <v>女</v>
      </c>
      <c r="E947" s="3" t="str">
        <f>"1991-04-15"</f>
        <v>1991-04-15</v>
      </c>
    </row>
    <row r="948" spans="1:5" s="4" customFormat="1" ht="18" customHeight="1">
      <c r="A948" s="3" t="str">
        <f>"21342019072919381496648"</f>
        <v>21342019072919381496648</v>
      </c>
      <c r="B948" s="3" t="s">
        <v>6</v>
      </c>
      <c r="C948" s="3" t="str">
        <f>"符光梅"</f>
        <v>符光梅</v>
      </c>
      <c r="D948" s="3" t="str">
        <f t="shared" si="15"/>
        <v>女</v>
      </c>
      <c r="E948" s="3" t="str">
        <f>"1991-02-26"</f>
        <v>1991-02-26</v>
      </c>
    </row>
    <row r="949" spans="1:5" s="4" customFormat="1" ht="18" customHeight="1">
      <c r="A949" s="3" t="str">
        <f>"21342019072919455696652"</f>
        <v>21342019072919455696652</v>
      </c>
      <c r="B949" s="3" t="s">
        <v>6</v>
      </c>
      <c r="C949" s="3" t="str">
        <f>"郭立红"</f>
        <v>郭立红</v>
      </c>
      <c r="D949" s="3" t="str">
        <f t="shared" si="15"/>
        <v>女</v>
      </c>
      <c r="E949" s="3" t="str">
        <f>"1994-01-01"</f>
        <v>1994-01-01</v>
      </c>
    </row>
    <row r="950" spans="1:5" s="4" customFormat="1" ht="18" customHeight="1">
      <c r="A950" s="3" t="str">
        <f>"21342019072919471596654"</f>
        <v>21342019072919471596654</v>
      </c>
      <c r="B950" s="3" t="s">
        <v>6</v>
      </c>
      <c r="C950" s="3" t="str">
        <f>"蔡菊茹"</f>
        <v>蔡菊茹</v>
      </c>
      <c r="D950" s="3" t="str">
        <f t="shared" si="15"/>
        <v>女</v>
      </c>
      <c r="E950" s="3" t="str">
        <f>"1997-08-23"</f>
        <v>1997-08-23</v>
      </c>
    </row>
    <row r="951" spans="1:5" s="4" customFormat="1" ht="18" customHeight="1">
      <c r="A951" s="3" t="str">
        <f>"21342019072919483896655"</f>
        <v>21342019072919483896655</v>
      </c>
      <c r="B951" s="3" t="s">
        <v>6</v>
      </c>
      <c r="C951" s="3" t="str">
        <f>"王芳华"</f>
        <v>王芳华</v>
      </c>
      <c r="D951" s="3" t="str">
        <f t="shared" si="15"/>
        <v>女</v>
      </c>
      <c r="E951" s="3" t="str">
        <f>"1995-09-16"</f>
        <v>1995-09-16</v>
      </c>
    </row>
    <row r="952" spans="1:5" s="4" customFormat="1" ht="18" customHeight="1">
      <c r="A952" s="3" t="str">
        <f>"21342019072919573896658"</f>
        <v>21342019072919573896658</v>
      </c>
      <c r="B952" s="3" t="s">
        <v>6</v>
      </c>
      <c r="C952" s="3" t="str">
        <f>"黄燕红"</f>
        <v>黄燕红</v>
      </c>
      <c r="D952" s="3" t="str">
        <f t="shared" si="15"/>
        <v>女</v>
      </c>
      <c r="E952" s="3" t="str">
        <f>"1994-08-28"</f>
        <v>1994-08-28</v>
      </c>
    </row>
    <row r="953" spans="1:5" s="4" customFormat="1" ht="18" customHeight="1">
      <c r="A953" s="3" t="str">
        <f>"21342019072920002396659"</f>
        <v>21342019072920002396659</v>
      </c>
      <c r="B953" s="3" t="s">
        <v>6</v>
      </c>
      <c r="C953" s="3" t="str">
        <f>"吴丽"</f>
        <v>吴丽</v>
      </c>
      <c r="D953" s="3" t="str">
        <f t="shared" si="15"/>
        <v>女</v>
      </c>
      <c r="E953" s="3" t="str">
        <f>"1991-01-18"</f>
        <v>1991-01-18</v>
      </c>
    </row>
    <row r="954" spans="1:5" s="4" customFormat="1" ht="18" customHeight="1">
      <c r="A954" s="3" t="str">
        <f>"21342019072920013696660"</f>
        <v>21342019072920013696660</v>
      </c>
      <c r="B954" s="3" t="s">
        <v>6</v>
      </c>
      <c r="C954" s="3" t="str">
        <f>"陈德嫒"</f>
        <v>陈德嫒</v>
      </c>
      <c r="D954" s="3" t="str">
        <f t="shared" si="15"/>
        <v>女</v>
      </c>
      <c r="E954" s="3" t="str">
        <f>"1990-06-17"</f>
        <v>1990-06-17</v>
      </c>
    </row>
    <row r="955" spans="1:5" s="4" customFormat="1" ht="18" customHeight="1">
      <c r="A955" s="3" t="str">
        <f>"21342019072920014996661"</f>
        <v>21342019072920014996661</v>
      </c>
      <c r="B955" s="3" t="s">
        <v>6</v>
      </c>
      <c r="C955" s="3" t="str">
        <f>"符丽菊"</f>
        <v>符丽菊</v>
      </c>
      <c r="D955" s="3" t="str">
        <f t="shared" si="15"/>
        <v>女</v>
      </c>
      <c r="E955" s="3" t="str">
        <f>"1990-02-20"</f>
        <v>1990-02-20</v>
      </c>
    </row>
    <row r="956" spans="1:5" s="4" customFormat="1" ht="18" customHeight="1">
      <c r="A956" s="3" t="str">
        <f>"21342019072920050096662"</f>
        <v>21342019072920050096662</v>
      </c>
      <c r="B956" s="3" t="s">
        <v>6</v>
      </c>
      <c r="C956" s="3" t="str">
        <f>"秦睿新"</f>
        <v>秦睿新</v>
      </c>
      <c r="D956" s="3" t="str">
        <f t="shared" si="15"/>
        <v>女</v>
      </c>
      <c r="E956" s="3" t="str">
        <f>"1997-12-26"</f>
        <v>1997-12-26</v>
      </c>
    </row>
    <row r="957" spans="1:5" s="4" customFormat="1" ht="18" customHeight="1">
      <c r="A957" s="3" t="str">
        <f>"21342019072920140596665"</f>
        <v>21342019072920140596665</v>
      </c>
      <c r="B957" s="3" t="s">
        <v>6</v>
      </c>
      <c r="C957" s="3" t="str">
        <f>"曾苗苗"</f>
        <v>曾苗苗</v>
      </c>
      <c r="D957" s="3" t="str">
        <f t="shared" si="15"/>
        <v>女</v>
      </c>
      <c r="E957" s="3" t="str">
        <f>"1997-05-19"</f>
        <v>1997-05-19</v>
      </c>
    </row>
    <row r="958" spans="1:5" s="4" customFormat="1" ht="18" customHeight="1">
      <c r="A958" s="3" t="str">
        <f>"21342019072920253496672"</f>
        <v>21342019072920253496672</v>
      </c>
      <c r="B958" s="3" t="s">
        <v>6</v>
      </c>
      <c r="C958" s="3" t="str">
        <f>"周秋萍"</f>
        <v>周秋萍</v>
      </c>
      <c r="D958" s="3" t="str">
        <f t="shared" si="15"/>
        <v>女</v>
      </c>
      <c r="E958" s="3" t="str">
        <f>"1991-11-14"</f>
        <v>1991-11-14</v>
      </c>
    </row>
    <row r="959" spans="1:5" s="4" customFormat="1" ht="18" customHeight="1">
      <c r="A959" s="3" t="str">
        <f>"21342019072920261696673"</f>
        <v>21342019072920261696673</v>
      </c>
      <c r="B959" s="3" t="s">
        <v>6</v>
      </c>
      <c r="C959" s="3" t="str">
        <f>"邵小勤"</f>
        <v>邵小勤</v>
      </c>
      <c r="D959" s="3" t="str">
        <f t="shared" si="15"/>
        <v>女</v>
      </c>
      <c r="E959" s="3" t="str">
        <f>"1990-04-12"</f>
        <v>1990-04-12</v>
      </c>
    </row>
    <row r="960" spans="1:5" s="4" customFormat="1" ht="18" customHeight="1">
      <c r="A960" s="3" t="str">
        <f>"21342019072920271696674"</f>
        <v>21342019072920271696674</v>
      </c>
      <c r="B960" s="3" t="s">
        <v>6</v>
      </c>
      <c r="C960" s="3" t="str">
        <f>"韩少燕"</f>
        <v>韩少燕</v>
      </c>
      <c r="D960" s="3" t="str">
        <f t="shared" si="15"/>
        <v>女</v>
      </c>
      <c r="E960" s="3" t="str">
        <f>"1994-08-20"</f>
        <v>1994-08-20</v>
      </c>
    </row>
    <row r="961" spans="1:5" s="4" customFormat="1" ht="18" customHeight="1">
      <c r="A961" s="3" t="str">
        <f>"21342019072920275996675"</f>
        <v>21342019072920275996675</v>
      </c>
      <c r="B961" s="3" t="s">
        <v>6</v>
      </c>
      <c r="C961" s="3" t="str">
        <f>"庞冬燕"</f>
        <v>庞冬燕</v>
      </c>
      <c r="D961" s="3" t="str">
        <f t="shared" si="15"/>
        <v>女</v>
      </c>
      <c r="E961" s="3" t="str">
        <f>"1995-01-05"</f>
        <v>1995-01-05</v>
      </c>
    </row>
    <row r="962" spans="1:5" s="4" customFormat="1" ht="18" customHeight="1">
      <c r="A962" s="3" t="str">
        <f>"21342019072920292296676"</f>
        <v>21342019072920292296676</v>
      </c>
      <c r="B962" s="3" t="s">
        <v>6</v>
      </c>
      <c r="C962" s="3" t="str">
        <f>"黄方华"</f>
        <v>黄方华</v>
      </c>
      <c r="D962" s="3" t="str">
        <f t="shared" si="15"/>
        <v>女</v>
      </c>
      <c r="E962" s="3" t="str">
        <f>"1991-01-02"</f>
        <v>1991-01-02</v>
      </c>
    </row>
    <row r="963" spans="1:5" s="4" customFormat="1" ht="18" customHeight="1">
      <c r="A963" s="3" t="str">
        <f>"21342019072920325596677"</f>
        <v>21342019072920325596677</v>
      </c>
      <c r="B963" s="3" t="s">
        <v>6</v>
      </c>
      <c r="C963" s="3" t="str">
        <f>"刘莉"</f>
        <v>刘莉</v>
      </c>
      <c r="D963" s="3" t="str">
        <f t="shared" si="15"/>
        <v>女</v>
      </c>
      <c r="E963" s="3" t="str">
        <f>"1991-08-15"</f>
        <v>1991-08-15</v>
      </c>
    </row>
    <row r="964" spans="1:5" s="4" customFormat="1" ht="18" customHeight="1">
      <c r="A964" s="3" t="str">
        <f>"21342019072920353396680"</f>
        <v>21342019072920353396680</v>
      </c>
      <c r="B964" s="3" t="s">
        <v>6</v>
      </c>
      <c r="C964" s="3" t="str">
        <f>"王堂娜"</f>
        <v>王堂娜</v>
      </c>
      <c r="D964" s="3" t="str">
        <f t="shared" si="15"/>
        <v>女</v>
      </c>
      <c r="E964" s="3" t="str">
        <f>"1994-06-04"</f>
        <v>1994-06-04</v>
      </c>
    </row>
    <row r="965" spans="1:5" s="4" customFormat="1" ht="18" customHeight="1">
      <c r="A965" s="3" t="str">
        <f>"21342019072920362896681"</f>
        <v>21342019072920362896681</v>
      </c>
      <c r="B965" s="3" t="s">
        <v>6</v>
      </c>
      <c r="C965" s="3" t="str">
        <f>"麦祖妃"</f>
        <v>麦祖妃</v>
      </c>
      <c r="D965" s="3" t="str">
        <f t="shared" si="15"/>
        <v>女</v>
      </c>
      <c r="E965" s="3" t="str">
        <f>"1992-05-18"</f>
        <v>1992-05-18</v>
      </c>
    </row>
    <row r="966" spans="1:5" s="4" customFormat="1" ht="18" customHeight="1">
      <c r="A966" s="3" t="str">
        <f>"21342019072920372296682"</f>
        <v>21342019072920372296682</v>
      </c>
      <c r="B966" s="3" t="s">
        <v>6</v>
      </c>
      <c r="C966" s="3" t="str">
        <f>"邹升梅"</f>
        <v>邹升梅</v>
      </c>
      <c r="D966" s="3" t="str">
        <f t="shared" si="15"/>
        <v>女</v>
      </c>
      <c r="E966" s="3" t="str">
        <f>"1997-10-20"</f>
        <v>1997-10-20</v>
      </c>
    </row>
    <row r="967" spans="1:5" s="4" customFormat="1" ht="18" customHeight="1">
      <c r="A967" s="3" t="str">
        <f>"21342019072920373896683"</f>
        <v>21342019072920373896683</v>
      </c>
      <c r="B967" s="3" t="s">
        <v>6</v>
      </c>
      <c r="C967" s="3" t="str">
        <f>"何尾后"</f>
        <v>何尾后</v>
      </c>
      <c r="D967" s="3" t="str">
        <f t="shared" si="15"/>
        <v>女</v>
      </c>
      <c r="E967" s="3" t="str">
        <f>"1996-08-11"</f>
        <v>1996-08-11</v>
      </c>
    </row>
    <row r="968" spans="1:5" s="4" customFormat="1" ht="18" customHeight="1">
      <c r="A968" s="3" t="str">
        <f>"21342019072920454096689"</f>
        <v>21342019072920454096689</v>
      </c>
      <c r="B968" s="3" t="s">
        <v>6</v>
      </c>
      <c r="C968" s="3" t="str">
        <f>"黄春明"</f>
        <v>黄春明</v>
      </c>
      <c r="D968" s="3" t="str">
        <f t="shared" si="15"/>
        <v>女</v>
      </c>
      <c r="E968" s="3" t="str">
        <f>"1996-10-12"</f>
        <v>1996-10-12</v>
      </c>
    </row>
    <row r="969" spans="1:5" s="4" customFormat="1" ht="18" customHeight="1">
      <c r="A969" s="3" t="str">
        <f>"21342019072920475296690"</f>
        <v>21342019072920475296690</v>
      </c>
      <c r="B969" s="3" t="s">
        <v>6</v>
      </c>
      <c r="C969" s="3" t="str">
        <f>"邱丽萍"</f>
        <v>邱丽萍</v>
      </c>
      <c r="D969" s="3" t="str">
        <f t="shared" si="15"/>
        <v>女</v>
      </c>
      <c r="E969" s="3" t="str">
        <f>"1992-10-12"</f>
        <v>1992-10-12</v>
      </c>
    </row>
    <row r="970" spans="1:5" s="4" customFormat="1" ht="18" customHeight="1">
      <c r="A970" s="3" t="str">
        <f>"21342019072920501296692"</f>
        <v>21342019072920501296692</v>
      </c>
      <c r="B970" s="3" t="s">
        <v>6</v>
      </c>
      <c r="C970" s="3" t="str">
        <f>"黄彩美"</f>
        <v>黄彩美</v>
      </c>
      <c r="D970" s="3" t="str">
        <f t="shared" si="15"/>
        <v>女</v>
      </c>
      <c r="E970" s="3" t="str">
        <f>"1992-11-13"</f>
        <v>1992-11-13</v>
      </c>
    </row>
    <row r="971" spans="1:5" s="4" customFormat="1" ht="18" customHeight="1">
      <c r="A971" s="3" t="str">
        <f>"21342019072920501996693"</f>
        <v>21342019072920501996693</v>
      </c>
      <c r="B971" s="3" t="s">
        <v>6</v>
      </c>
      <c r="C971" s="3" t="str">
        <f>"吴启桃"</f>
        <v>吴启桃</v>
      </c>
      <c r="D971" s="3" t="str">
        <f t="shared" si="15"/>
        <v>女</v>
      </c>
      <c r="E971" s="3" t="str">
        <f>"1990-03-08"</f>
        <v>1990-03-08</v>
      </c>
    </row>
    <row r="972" spans="1:5" s="4" customFormat="1" ht="18" customHeight="1">
      <c r="A972" s="3" t="str">
        <f>"21342019072920532396695"</f>
        <v>21342019072920532396695</v>
      </c>
      <c r="B972" s="3" t="s">
        <v>6</v>
      </c>
      <c r="C972" s="3" t="str">
        <f>"丁裕欢"</f>
        <v>丁裕欢</v>
      </c>
      <c r="D972" s="3" t="str">
        <f t="shared" si="15"/>
        <v>女</v>
      </c>
      <c r="E972" s="3" t="str">
        <f>"1996-08-16"</f>
        <v>1996-08-16</v>
      </c>
    </row>
    <row r="973" spans="1:5" s="4" customFormat="1" ht="18" customHeight="1">
      <c r="A973" s="3" t="str">
        <f>"21342019072921122996700"</f>
        <v>21342019072921122996700</v>
      </c>
      <c r="B973" s="3" t="s">
        <v>6</v>
      </c>
      <c r="C973" s="3" t="str">
        <f>"吴欣羽"</f>
        <v>吴欣羽</v>
      </c>
      <c r="D973" s="3" t="str">
        <f t="shared" si="15"/>
        <v>女</v>
      </c>
      <c r="E973" s="3" t="str">
        <f>"1997-10-22"</f>
        <v>1997-10-22</v>
      </c>
    </row>
    <row r="974" spans="1:5" s="4" customFormat="1" ht="18" customHeight="1">
      <c r="A974" s="3" t="str">
        <f>"21342019072921140396702"</f>
        <v>21342019072921140396702</v>
      </c>
      <c r="B974" s="3" t="s">
        <v>6</v>
      </c>
      <c r="C974" s="3" t="str">
        <f>"郭颖"</f>
        <v>郭颖</v>
      </c>
      <c r="D974" s="3" t="str">
        <f t="shared" si="15"/>
        <v>女</v>
      </c>
      <c r="E974" s="3" t="str">
        <f>"1990-11-09"</f>
        <v>1990-11-09</v>
      </c>
    </row>
    <row r="975" spans="1:5" s="4" customFormat="1" ht="18" customHeight="1">
      <c r="A975" s="3" t="str">
        <f>"21342019072921143996703"</f>
        <v>21342019072921143996703</v>
      </c>
      <c r="B975" s="3" t="s">
        <v>6</v>
      </c>
      <c r="C975" s="3" t="str">
        <f>"曾维瑶"</f>
        <v>曾维瑶</v>
      </c>
      <c r="D975" s="3" t="str">
        <f t="shared" si="15"/>
        <v>女</v>
      </c>
      <c r="E975" s="3" t="str">
        <f>"1996-08-10"</f>
        <v>1996-08-10</v>
      </c>
    </row>
    <row r="976" spans="1:5" s="4" customFormat="1" ht="18" customHeight="1">
      <c r="A976" s="3" t="str">
        <f>"21342019072921164796704"</f>
        <v>21342019072921164796704</v>
      </c>
      <c r="B976" s="3" t="s">
        <v>6</v>
      </c>
      <c r="C976" s="3" t="str">
        <f>"罗梅"</f>
        <v>罗梅</v>
      </c>
      <c r="D976" s="3" t="str">
        <f t="shared" si="15"/>
        <v>女</v>
      </c>
      <c r="E976" s="3" t="str">
        <f>"1993-03-23"</f>
        <v>1993-03-23</v>
      </c>
    </row>
    <row r="977" spans="1:5" s="4" customFormat="1" ht="18" customHeight="1">
      <c r="A977" s="3" t="str">
        <f>"21342019072921164896705"</f>
        <v>21342019072921164896705</v>
      </c>
      <c r="B977" s="3" t="s">
        <v>6</v>
      </c>
      <c r="C977" s="3" t="str">
        <f>"詹其苹"</f>
        <v>詹其苹</v>
      </c>
      <c r="D977" s="3" t="str">
        <f t="shared" si="15"/>
        <v>女</v>
      </c>
      <c r="E977" s="3" t="str">
        <f>"1995-10-26"</f>
        <v>1995-10-26</v>
      </c>
    </row>
    <row r="978" spans="1:5" s="4" customFormat="1" ht="18" customHeight="1">
      <c r="A978" s="3" t="str">
        <f>"21342019072921225496710"</f>
        <v>21342019072921225496710</v>
      </c>
      <c r="B978" s="3" t="s">
        <v>6</v>
      </c>
      <c r="C978" s="3" t="str">
        <f>"王义芳"</f>
        <v>王义芳</v>
      </c>
      <c r="D978" s="3" t="str">
        <f t="shared" si="15"/>
        <v>女</v>
      </c>
      <c r="E978" s="3" t="str">
        <f>"1995-04-28"</f>
        <v>1995-04-28</v>
      </c>
    </row>
    <row r="979" spans="1:5" s="4" customFormat="1" ht="18" customHeight="1">
      <c r="A979" s="3" t="str">
        <f>"21342019072921365996718"</f>
        <v>21342019072921365996718</v>
      </c>
      <c r="B979" s="3" t="s">
        <v>6</v>
      </c>
      <c r="C979" s="3" t="str">
        <f>"杜少妹"</f>
        <v>杜少妹</v>
      </c>
      <c r="D979" s="3" t="str">
        <f aca="true" t="shared" si="16" ref="D979:D1042">"女"</f>
        <v>女</v>
      </c>
      <c r="E979" s="3" t="str">
        <f>"1994-01-01"</f>
        <v>1994-01-01</v>
      </c>
    </row>
    <row r="980" spans="1:5" s="4" customFormat="1" ht="18" customHeight="1">
      <c r="A980" s="3" t="str">
        <f>"21342019072921410696721"</f>
        <v>21342019072921410696721</v>
      </c>
      <c r="B980" s="3" t="s">
        <v>6</v>
      </c>
      <c r="C980" s="3" t="str">
        <f>"周媚"</f>
        <v>周媚</v>
      </c>
      <c r="D980" s="3" t="str">
        <f t="shared" si="16"/>
        <v>女</v>
      </c>
      <c r="E980" s="3" t="str">
        <f>"1990-09-17"</f>
        <v>1990-09-17</v>
      </c>
    </row>
    <row r="981" spans="1:5" s="4" customFormat="1" ht="18" customHeight="1">
      <c r="A981" s="3" t="str">
        <f>"21342019072921431196724"</f>
        <v>21342019072921431196724</v>
      </c>
      <c r="B981" s="3" t="s">
        <v>6</v>
      </c>
      <c r="C981" s="3" t="str">
        <f>"庄小诗"</f>
        <v>庄小诗</v>
      </c>
      <c r="D981" s="3" t="str">
        <f t="shared" si="16"/>
        <v>女</v>
      </c>
      <c r="E981" s="3" t="str">
        <f>"1993-07-24"</f>
        <v>1993-07-24</v>
      </c>
    </row>
    <row r="982" spans="1:5" s="4" customFormat="1" ht="18" customHeight="1">
      <c r="A982" s="3" t="str">
        <f>"21342019072921485596726"</f>
        <v>21342019072921485596726</v>
      </c>
      <c r="B982" s="3" t="s">
        <v>6</v>
      </c>
      <c r="C982" s="3" t="str">
        <f>"张慧灵"</f>
        <v>张慧灵</v>
      </c>
      <c r="D982" s="3" t="str">
        <f t="shared" si="16"/>
        <v>女</v>
      </c>
      <c r="E982" s="3" t="str">
        <f>"1990-08-02"</f>
        <v>1990-08-02</v>
      </c>
    </row>
    <row r="983" spans="1:5" s="4" customFormat="1" ht="18" customHeight="1">
      <c r="A983" s="3" t="str">
        <f>"21342019072921500896728"</f>
        <v>21342019072921500896728</v>
      </c>
      <c r="B983" s="3" t="s">
        <v>6</v>
      </c>
      <c r="C983" s="3" t="str">
        <f>"张伟波"</f>
        <v>张伟波</v>
      </c>
      <c r="D983" s="3" t="str">
        <f t="shared" si="16"/>
        <v>女</v>
      </c>
      <c r="E983" s="3" t="str">
        <f>"1994-11-11"</f>
        <v>1994-11-11</v>
      </c>
    </row>
    <row r="984" spans="1:5" s="4" customFormat="1" ht="18" customHeight="1">
      <c r="A984" s="3" t="str">
        <f>"21342019072921520196729"</f>
        <v>21342019072921520196729</v>
      </c>
      <c r="B984" s="3" t="s">
        <v>6</v>
      </c>
      <c r="C984" s="3" t="str">
        <f>"符晓冰"</f>
        <v>符晓冰</v>
      </c>
      <c r="D984" s="3" t="str">
        <f t="shared" si="16"/>
        <v>女</v>
      </c>
      <c r="E984" s="3" t="str">
        <f>"1995-08-02"</f>
        <v>1995-08-02</v>
      </c>
    </row>
    <row r="985" spans="1:5" s="4" customFormat="1" ht="18" customHeight="1">
      <c r="A985" s="3" t="str">
        <f>"21342019072921535996731"</f>
        <v>21342019072921535996731</v>
      </c>
      <c r="B985" s="3" t="s">
        <v>6</v>
      </c>
      <c r="C985" s="3" t="str">
        <f>"吴树越"</f>
        <v>吴树越</v>
      </c>
      <c r="D985" s="3" t="str">
        <f t="shared" si="16"/>
        <v>女</v>
      </c>
      <c r="E985" s="3" t="str">
        <f>"1992-07-30"</f>
        <v>1992-07-30</v>
      </c>
    </row>
    <row r="986" spans="1:5" s="4" customFormat="1" ht="18" customHeight="1">
      <c r="A986" s="3" t="str">
        <f>"21342019072921564396732"</f>
        <v>21342019072921564396732</v>
      </c>
      <c r="B986" s="3" t="s">
        <v>6</v>
      </c>
      <c r="C986" s="3" t="str">
        <f>"陈静淑"</f>
        <v>陈静淑</v>
      </c>
      <c r="D986" s="3" t="str">
        <f t="shared" si="16"/>
        <v>女</v>
      </c>
      <c r="E986" s="3" t="str">
        <f>"1992-06-12"</f>
        <v>1992-06-12</v>
      </c>
    </row>
    <row r="987" spans="1:5" s="4" customFormat="1" ht="18" customHeight="1">
      <c r="A987" s="3" t="str">
        <f>"21342019072921583996735"</f>
        <v>21342019072921583996735</v>
      </c>
      <c r="B987" s="3" t="s">
        <v>6</v>
      </c>
      <c r="C987" s="3" t="str">
        <f>"邹琼平"</f>
        <v>邹琼平</v>
      </c>
      <c r="D987" s="3" t="str">
        <f t="shared" si="16"/>
        <v>女</v>
      </c>
      <c r="E987" s="3" t="str">
        <f>"1990-03-19"</f>
        <v>1990-03-19</v>
      </c>
    </row>
    <row r="988" spans="1:5" s="4" customFormat="1" ht="18" customHeight="1">
      <c r="A988" s="3" t="str">
        <f>"21342019072922030896737"</f>
        <v>21342019072922030896737</v>
      </c>
      <c r="B988" s="3" t="s">
        <v>6</v>
      </c>
      <c r="C988" s="3" t="str">
        <f>"符秋梅"</f>
        <v>符秋梅</v>
      </c>
      <c r="D988" s="3" t="str">
        <f t="shared" si="16"/>
        <v>女</v>
      </c>
      <c r="E988" s="3" t="str">
        <f>"1993-10-12"</f>
        <v>1993-10-12</v>
      </c>
    </row>
    <row r="989" spans="1:5" s="4" customFormat="1" ht="18" customHeight="1">
      <c r="A989" s="3" t="str">
        <f>"21342019072922040996738"</f>
        <v>21342019072922040996738</v>
      </c>
      <c r="B989" s="3" t="s">
        <v>6</v>
      </c>
      <c r="C989" s="3" t="str">
        <f>"唐登柳"</f>
        <v>唐登柳</v>
      </c>
      <c r="D989" s="3" t="str">
        <f t="shared" si="16"/>
        <v>女</v>
      </c>
      <c r="E989" s="3" t="str">
        <f>"1993-03-11"</f>
        <v>1993-03-11</v>
      </c>
    </row>
    <row r="990" spans="1:5" s="4" customFormat="1" ht="18" customHeight="1">
      <c r="A990" s="3" t="str">
        <f>"21342019072922130696740"</f>
        <v>21342019072922130696740</v>
      </c>
      <c r="B990" s="3" t="s">
        <v>6</v>
      </c>
      <c r="C990" s="3" t="str">
        <f>"吴香坤"</f>
        <v>吴香坤</v>
      </c>
      <c r="D990" s="3" t="str">
        <f t="shared" si="16"/>
        <v>女</v>
      </c>
      <c r="E990" s="3" t="str">
        <f>"1995-07-15"</f>
        <v>1995-07-15</v>
      </c>
    </row>
    <row r="991" spans="1:5" s="4" customFormat="1" ht="18" customHeight="1">
      <c r="A991" s="3" t="str">
        <f>"21342019072922172096744"</f>
        <v>21342019072922172096744</v>
      </c>
      <c r="B991" s="3" t="s">
        <v>6</v>
      </c>
      <c r="C991" s="3" t="str">
        <f>"刘丹"</f>
        <v>刘丹</v>
      </c>
      <c r="D991" s="3" t="str">
        <f t="shared" si="16"/>
        <v>女</v>
      </c>
      <c r="E991" s="3" t="str">
        <f>"1993-10-06"</f>
        <v>1993-10-06</v>
      </c>
    </row>
    <row r="992" spans="1:5" s="4" customFormat="1" ht="18" customHeight="1">
      <c r="A992" s="3" t="str">
        <f>"21342019072922375896751"</f>
        <v>21342019072922375896751</v>
      </c>
      <c r="B992" s="3" t="s">
        <v>6</v>
      </c>
      <c r="C992" s="3" t="str">
        <f>"黄春英"</f>
        <v>黄春英</v>
      </c>
      <c r="D992" s="3" t="str">
        <f t="shared" si="16"/>
        <v>女</v>
      </c>
      <c r="E992" s="3" t="str">
        <f>"1994-10-12"</f>
        <v>1994-10-12</v>
      </c>
    </row>
    <row r="993" spans="1:5" s="4" customFormat="1" ht="18" customHeight="1">
      <c r="A993" s="3" t="str">
        <f>"21342019072922385596752"</f>
        <v>21342019072922385596752</v>
      </c>
      <c r="B993" s="3" t="s">
        <v>6</v>
      </c>
      <c r="C993" s="3" t="str">
        <f>"陈博雯"</f>
        <v>陈博雯</v>
      </c>
      <c r="D993" s="3" t="str">
        <f t="shared" si="16"/>
        <v>女</v>
      </c>
      <c r="E993" s="3" t="str">
        <f>"1992-02-28"</f>
        <v>1992-02-28</v>
      </c>
    </row>
    <row r="994" spans="1:5" s="4" customFormat="1" ht="18" customHeight="1">
      <c r="A994" s="3" t="str">
        <f>"21342019072922413896755"</f>
        <v>21342019072922413896755</v>
      </c>
      <c r="B994" s="3" t="s">
        <v>6</v>
      </c>
      <c r="C994" s="3" t="str">
        <f>"曹越华"</f>
        <v>曹越华</v>
      </c>
      <c r="D994" s="3" t="str">
        <f t="shared" si="16"/>
        <v>女</v>
      </c>
      <c r="E994" s="3" t="str">
        <f>"1991-02-25"</f>
        <v>1991-02-25</v>
      </c>
    </row>
    <row r="995" spans="1:5" s="4" customFormat="1" ht="18" customHeight="1">
      <c r="A995" s="3" t="str">
        <f>"21342019072922441996757"</f>
        <v>21342019072922441996757</v>
      </c>
      <c r="B995" s="3" t="s">
        <v>6</v>
      </c>
      <c r="C995" s="3" t="str">
        <f>"羊丽霞"</f>
        <v>羊丽霞</v>
      </c>
      <c r="D995" s="3" t="str">
        <f t="shared" si="16"/>
        <v>女</v>
      </c>
      <c r="E995" s="3" t="str">
        <f>"1996-10-30"</f>
        <v>1996-10-30</v>
      </c>
    </row>
    <row r="996" spans="1:5" s="4" customFormat="1" ht="18" customHeight="1">
      <c r="A996" s="3" t="str">
        <f>"21342019072922472096759"</f>
        <v>21342019072922472096759</v>
      </c>
      <c r="B996" s="3" t="s">
        <v>6</v>
      </c>
      <c r="C996" s="3" t="str">
        <f>"陈虹"</f>
        <v>陈虹</v>
      </c>
      <c r="D996" s="3" t="str">
        <f t="shared" si="16"/>
        <v>女</v>
      </c>
      <c r="E996" s="3" t="str">
        <f>"1990-12-17"</f>
        <v>1990-12-17</v>
      </c>
    </row>
    <row r="997" spans="1:5" s="4" customFormat="1" ht="18" customHeight="1">
      <c r="A997" s="3" t="str">
        <f>"21342019072922472196760"</f>
        <v>21342019072922472196760</v>
      </c>
      <c r="B997" s="3" t="s">
        <v>6</v>
      </c>
      <c r="C997" s="3" t="str">
        <f>"王冰冰"</f>
        <v>王冰冰</v>
      </c>
      <c r="D997" s="3" t="str">
        <f t="shared" si="16"/>
        <v>女</v>
      </c>
      <c r="E997" s="3" t="str">
        <f>"1996-10-11"</f>
        <v>1996-10-11</v>
      </c>
    </row>
    <row r="998" spans="1:5" s="4" customFormat="1" ht="18" customHeight="1">
      <c r="A998" s="3" t="str">
        <f>"21342019072923003696765"</f>
        <v>21342019072923003696765</v>
      </c>
      <c r="B998" s="3" t="s">
        <v>6</v>
      </c>
      <c r="C998" s="3" t="str">
        <f>"吴秋月"</f>
        <v>吴秋月</v>
      </c>
      <c r="D998" s="3" t="str">
        <f t="shared" si="16"/>
        <v>女</v>
      </c>
      <c r="E998" s="3" t="str">
        <f>"1995-04-14"</f>
        <v>1995-04-14</v>
      </c>
    </row>
    <row r="999" spans="1:5" s="4" customFormat="1" ht="18" customHeight="1">
      <c r="A999" s="3" t="str">
        <f>"21342019072923014096766"</f>
        <v>21342019072923014096766</v>
      </c>
      <c r="B999" s="3" t="s">
        <v>6</v>
      </c>
      <c r="C999" s="3" t="str">
        <f>"李桃侬"</f>
        <v>李桃侬</v>
      </c>
      <c r="D999" s="3" t="str">
        <f t="shared" si="16"/>
        <v>女</v>
      </c>
      <c r="E999" s="3" t="str">
        <f>"1995-07-03"</f>
        <v>1995-07-03</v>
      </c>
    </row>
    <row r="1000" spans="1:5" s="4" customFormat="1" ht="18" customHeight="1">
      <c r="A1000" s="3" t="str">
        <f>"21342019072923075196768"</f>
        <v>21342019072923075196768</v>
      </c>
      <c r="B1000" s="3" t="s">
        <v>6</v>
      </c>
      <c r="C1000" s="3" t="str">
        <f>"王美妹"</f>
        <v>王美妹</v>
      </c>
      <c r="D1000" s="3" t="str">
        <f t="shared" si="16"/>
        <v>女</v>
      </c>
      <c r="E1000" s="3" t="str">
        <f>"1995-05-20"</f>
        <v>1995-05-20</v>
      </c>
    </row>
    <row r="1001" spans="1:5" s="4" customFormat="1" ht="18" customHeight="1">
      <c r="A1001" s="3" t="str">
        <f>"21342019072923111096769"</f>
        <v>21342019072923111096769</v>
      </c>
      <c r="B1001" s="3" t="s">
        <v>6</v>
      </c>
      <c r="C1001" s="3" t="str">
        <f>"吴清妹"</f>
        <v>吴清妹</v>
      </c>
      <c r="D1001" s="3" t="str">
        <f t="shared" si="16"/>
        <v>女</v>
      </c>
      <c r="E1001" s="3" t="str">
        <f>"1995-09-22"</f>
        <v>1995-09-22</v>
      </c>
    </row>
    <row r="1002" spans="1:5" s="4" customFormat="1" ht="18" customHeight="1">
      <c r="A1002" s="3" t="str">
        <f>"21342019072923202396772"</f>
        <v>21342019072923202396772</v>
      </c>
      <c r="B1002" s="3" t="s">
        <v>6</v>
      </c>
      <c r="C1002" s="3" t="str">
        <f>"王萍"</f>
        <v>王萍</v>
      </c>
      <c r="D1002" s="3" t="str">
        <f t="shared" si="16"/>
        <v>女</v>
      </c>
      <c r="E1002" s="3" t="str">
        <f>"1996-04-06"</f>
        <v>1996-04-06</v>
      </c>
    </row>
    <row r="1003" spans="1:5" s="4" customFormat="1" ht="18" customHeight="1">
      <c r="A1003" s="3" t="str">
        <f>"21342019072923221596773"</f>
        <v>21342019072923221596773</v>
      </c>
      <c r="B1003" s="3" t="s">
        <v>6</v>
      </c>
      <c r="C1003" s="3" t="str">
        <f>"王育云"</f>
        <v>王育云</v>
      </c>
      <c r="D1003" s="3" t="str">
        <f t="shared" si="16"/>
        <v>女</v>
      </c>
      <c r="E1003" s="3" t="str">
        <f>"1997-05-29"</f>
        <v>1997-05-29</v>
      </c>
    </row>
    <row r="1004" spans="1:5" s="4" customFormat="1" ht="18" customHeight="1">
      <c r="A1004" s="3" t="str">
        <f>"21342019072923225896774"</f>
        <v>21342019072923225896774</v>
      </c>
      <c r="B1004" s="3" t="s">
        <v>6</v>
      </c>
      <c r="C1004" s="3" t="str">
        <f>"陈思颖"</f>
        <v>陈思颖</v>
      </c>
      <c r="D1004" s="3" t="str">
        <f t="shared" si="16"/>
        <v>女</v>
      </c>
      <c r="E1004" s="3" t="str">
        <f>"1989-10-01"</f>
        <v>1989-10-01</v>
      </c>
    </row>
    <row r="1005" spans="1:5" s="4" customFormat="1" ht="18" customHeight="1">
      <c r="A1005" s="3" t="str">
        <f>"21342019072923393096779"</f>
        <v>21342019072923393096779</v>
      </c>
      <c r="B1005" s="3" t="s">
        <v>6</v>
      </c>
      <c r="C1005" s="3" t="str">
        <f>"范平苹"</f>
        <v>范平苹</v>
      </c>
      <c r="D1005" s="3" t="str">
        <f t="shared" si="16"/>
        <v>女</v>
      </c>
      <c r="E1005" s="3" t="str">
        <f>"1996-05-10"</f>
        <v>1996-05-10</v>
      </c>
    </row>
    <row r="1006" spans="1:5" s="4" customFormat="1" ht="18" customHeight="1">
      <c r="A1006" s="3" t="str">
        <f>"21342019072923423396780"</f>
        <v>21342019072923423396780</v>
      </c>
      <c r="B1006" s="3" t="s">
        <v>6</v>
      </c>
      <c r="C1006" s="3" t="str">
        <f>"陈妹"</f>
        <v>陈妹</v>
      </c>
      <c r="D1006" s="3" t="str">
        <f t="shared" si="16"/>
        <v>女</v>
      </c>
      <c r="E1006" s="3" t="str">
        <f>"1997-04-10"</f>
        <v>1997-04-10</v>
      </c>
    </row>
    <row r="1007" spans="1:5" s="4" customFormat="1" ht="18" customHeight="1">
      <c r="A1007" s="3" t="str">
        <f>"21342019072923464696781"</f>
        <v>21342019072923464696781</v>
      </c>
      <c r="B1007" s="3" t="s">
        <v>6</v>
      </c>
      <c r="C1007" s="3" t="str">
        <f>"黄宏圆"</f>
        <v>黄宏圆</v>
      </c>
      <c r="D1007" s="3" t="str">
        <f t="shared" si="16"/>
        <v>女</v>
      </c>
      <c r="E1007" s="3" t="str">
        <f>"1994-09-15"</f>
        <v>1994-09-15</v>
      </c>
    </row>
    <row r="1008" spans="1:5" s="4" customFormat="1" ht="18" customHeight="1">
      <c r="A1008" s="3" t="str">
        <f>"21342019073000035196783"</f>
        <v>21342019073000035196783</v>
      </c>
      <c r="B1008" s="3" t="s">
        <v>6</v>
      </c>
      <c r="C1008" s="3" t="str">
        <f>"林青云"</f>
        <v>林青云</v>
      </c>
      <c r="D1008" s="3" t="str">
        <f t="shared" si="16"/>
        <v>女</v>
      </c>
      <c r="E1008" s="3" t="str">
        <f>"1995-01-18"</f>
        <v>1995-01-18</v>
      </c>
    </row>
    <row r="1009" spans="1:5" s="4" customFormat="1" ht="18" customHeight="1">
      <c r="A1009" s="3" t="str">
        <f>"21342019073000151796785"</f>
        <v>21342019073000151796785</v>
      </c>
      <c r="B1009" s="3" t="s">
        <v>6</v>
      </c>
      <c r="C1009" s="3" t="str">
        <f>"王丽梅"</f>
        <v>王丽梅</v>
      </c>
      <c r="D1009" s="3" t="str">
        <f t="shared" si="16"/>
        <v>女</v>
      </c>
      <c r="E1009" s="3" t="str">
        <f>"1994-05-30"</f>
        <v>1994-05-30</v>
      </c>
    </row>
    <row r="1010" spans="1:5" s="4" customFormat="1" ht="18" customHeight="1">
      <c r="A1010" s="3" t="str">
        <f>"21342019073000565196789"</f>
        <v>21342019073000565196789</v>
      </c>
      <c r="B1010" s="3" t="s">
        <v>6</v>
      </c>
      <c r="C1010" s="3" t="str">
        <f>"王梦妮"</f>
        <v>王梦妮</v>
      </c>
      <c r="D1010" s="3" t="str">
        <f t="shared" si="16"/>
        <v>女</v>
      </c>
      <c r="E1010" s="3" t="str">
        <f>"1994-08-10"</f>
        <v>1994-08-10</v>
      </c>
    </row>
    <row r="1011" spans="1:5" s="4" customFormat="1" ht="18" customHeight="1">
      <c r="A1011" s="3" t="str">
        <f>"21342019073001004196790"</f>
        <v>21342019073001004196790</v>
      </c>
      <c r="B1011" s="3" t="s">
        <v>6</v>
      </c>
      <c r="C1011" s="3" t="str">
        <f>"黎梅柳"</f>
        <v>黎梅柳</v>
      </c>
      <c r="D1011" s="3" t="str">
        <f t="shared" si="16"/>
        <v>女</v>
      </c>
      <c r="E1011" s="3" t="str">
        <f>"1999-12-29"</f>
        <v>1999-12-29</v>
      </c>
    </row>
    <row r="1012" spans="1:5" s="4" customFormat="1" ht="18" customHeight="1">
      <c r="A1012" s="3" t="str">
        <f>"21342019073006051596792"</f>
        <v>21342019073006051596792</v>
      </c>
      <c r="B1012" s="3" t="s">
        <v>6</v>
      </c>
      <c r="C1012" s="3" t="str">
        <f>"莫丽"</f>
        <v>莫丽</v>
      </c>
      <c r="D1012" s="3" t="str">
        <f t="shared" si="16"/>
        <v>女</v>
      </c>
      <c r="E1012" s="3" t="str">
        <f>"1989-10-05"</f>
        <v>1989-10-05</v>
      </c>
    </row>
    <row r="1013" spans="1:5" s="4" customFormat="1" ht="18" customHeight="1">
      <c r="A1013" s="3" t="str">
        <f>"21342019073007321396795"</f>
        <v>21342019073007321396795</v>
      </c>
      <c r="B1013" s="3" t="s">
        <v>6</v>
      </c>
      <c r="C1013" s="3" t="str">
        <f>"林新"</f>
        <v>林新</v>
      </c>
      <c r="D1013" s="3" t="str">
        <f t="shared" si="16"/>
        <v>女</v>
      </c>
      <c r="E1013" s="3" t="str">
        <f>"1996-07-11"</f>
        <v>1996-07-11</v>
      </c>
    </row>
    <row r="1014" spans="1:5" s="4" customFormat="1" ht="18" customHeight="1">
      <c r="A1014" s="3" t="str">
        <f>"21342019073007325396796"</f>
        <v>21342019073007325396796</v>
      </c>
      <c r="B1014" s="3" t="s">
        <v>6</v>
      </c>
      <c r="C1014" s="3" t="str">
        <f>"叶晨霞"</f>
        <v>叶晨霞</v>
      </c>
      <c r="D1014" s="3" t="str">
        <f t="shared" si="16"/>
        <v>女</v>
      </c>
      <c r="E1014" s="3" t="str">
        <f>"1993-11-18"</f>
        <v>1993-11-18</v>
      </c>
    </row>
    <row r="1015" spans="1:5" s="4" customFormat="1" ht="18" customHeight="1">
      <c r="A1015" s="3" t="str">
        <f>"21342019073007465096797"</f>
        <v>21342019073007465096797</v>
      </c>
      <c r="B1015" s="3" t="s">
        <v>6</v>
      </c>
      <c r="C1015" s="3" t="str">
        <f>"曾飘"</f>
        <v>曾飘</v>
      </c>
      <c r="D1015" s="3" t="str">
        <f t="shared" si="16"/>
        <v>女</v>
      </c>
      <c r="E1015" s="3" t="str">
        <f>"1995-03-24"</f>
        <v>1995-03-24</v>
      </c>
    </row>
    <row r="1016" spans="1:5" s="4" customFormat="1" ht="18" customHeight="1">
      <c r="A1016" s="3" t="str">
        <f>"21342019073008041396799"</f>
        <v>21342019073008041396799</v>
      </c>
      <c r="B1016" s="3" t="s">
        <v>6</v>
      </c>
      <c r="C1016" s="3" t="str">
        <f>"罗小红"</f>
        <v>罗小红</v>
      </c>
      <c r="D1016" s="3" t="str">
        <f t="shared" si="16"/>
        <v>女</v>
      </c>
      <c r="E1016" s="3" t="str">
        <f>"1994-04-05"</f>
        <v>1994-04-05</v>
      </c>
    </row>
    <row r="1017" spans="1:5" s="4" customFormat="1" ht="18" customHeight="1">
      <c r="A1017" s="3" t="str">
        <f>"21342019073008320496804"</f>
        <v>21342019073008320496804</v>
      </c>
      <c r="B1017" s="3" t="s">
        <v>6</v>
      </c>
      <c r="C1017" s="3" t="str">
        <f>"吉家霞"</f>
        <v>吉家霞</v>
      </c>
      <c r="D1017" s="3" t="str">
        <f t="shared" si="16"/>
        <v>女</v>
      </c>
      <c r="E1017" s="3" t="str">
        <f>"1995-08-20"</f>
        <v>1995-08-20</v>
      </c>
    </row>
    <row r="1018" spans="1:5" s="4" customFormat="1" ht="18" customHeight="1">
      <c r="A1018" s="3" t="str">
        <f>"21342019073008403796806"</f>
        <v>21342019073008403796806</v>
      </c>
      <c r="B1018" s="3" t="s">
        <v>6</v>
      </c>
      <c r="C1018" s="3" t="str">
        <f>"陈凤妹"</f>
        <v>陈凤妹</v>
      </c>
      <c r="D1018" s="3" t="str">
        <f t="shared" si="16"/>
        <v>女</v>
      </c>
      <c r="E1018" s="3" t="str">
        <f>"1995-09-15"</f>
        <v>1995-09-15</v>
      </c>
    </row>
    <row r="1019" spans="1:5" s="4" customFormat="1" ht="18" customHeight="1">
      <c r="A1019" s="3" t="str">
        <f>"21342019073008481896808"</f>
        <v>21342019073008481896808</v>
      </c>
      <c r="B1019" s="3" t="s">
        <v>6</v>
      </c>
      <c r="C1019" s="3" t="str">
        <f>"何丕悦"</f>
        <v>何丕悦</v>
      </c>
      <c r="D1019" s="3" t="str">
        <f t="shared" si="16"/>
        <v>女</v>
      </c>
      <c r="E1019" s="3" t="str">
        <f>"1992-11-24"</f>
        <v>1992-11-24</v>
      </c>
    </row>
    <row r="1020" spans="1:5" s="4" customFormat="1" ht="18" customHeight="1">
      <c r="A1020" s="3" t="str">
        <f>"21342019073008573796811"</f>
        <v>21342019073008573796811</v>
      </c>
      <c r="B1020" s="3" t="s">
        <v>6</v>
      </c>
      <c r="C1020" s="3" t="str">
        <f>"王永爱"</f>
        <v>王永爱</v>
      </c>
      <c r="D1020" s="3" t="str">
        <f t="shared" si="16"/>
        <v>女</v>
      </c>
      <c r="E1020" s="3" t="str">
        <f>"1993-03-08"</f>
        <v>1993-03-08</v>
      </c>
    </row>
    <row r="1021" spans="1:5" s="4" customFormat="1" ht="18" customHeight="1">
      <c r="A1021" s="3" t="str">
        <f>"21342019073009062796814"</f>
        <v>21342019073009062796814</v>
      </c>
      <c r="B1021" s="3" t="s">
        <v>6</v>
      </c>
      <c r="C1021" s="3" t="str">
        <f>"曾起玲"</f>
        <v>曾起玲</v>
      </c>
      <c r="D1021" s="3" t="str">
        <f t="shared" si="16"/>
        <v>女</v>
      </c>
      <c r="E1021" s="3" t="str">
        <f>"1990-08-05"</f>
        <v>1990-08-05</v>
      </c>
    </row>
    <row r="1022" spans="1:5" s="4" customFormat="1" ht="18" customHeight="1">
      <c r="A1022" s="3" t="str">
        <f>"21342019073009141196820"</f>
        <v>21342019073009141196820</v>
      </c>
      <c r="B1022" s="3" t="s">
        <v>6</v>
      </c>
      <c r="C1022" s="3" t="str">
        <f>"赵秋艳"</f>
        <v>赵秋艳</v>
      </c>
      <c r="D1022" s="3" t="str">
        <f t="shared" si="16"/>
        <v>女</v>
      </c>
      <c r="E1022" s="3" t="str">
        <f>"1992-06-09"</f>
        <v>1992-06-09</v>
      </c>
    </row>
    <row r="1023" spans="1:5" s="4" customFormat="1" ht="18" customHeight="1">
      <c r="A1023" s="3" t="str">
        <f>"21342019073009145696822"</f>
        <v>21342019073009145696822</v>
      </c>
      <c r="B1023" s="3" t="s">
        <v>6</v>
      </c>
      <c r="C1023" s="3" t="str">
        <f>"林晓敏"</f>
        <v>林晓敏</v>
      </c>
      <c r="D1023" s="3" t="str">
        <f t="shared" si="16"/>
        <v>女</v>
      </c>
      <c r="E1023" s="3" t="str">
        <f>"1994-12-08"</f>
        <v>1994-12-08</v>
      </c>
    </row>
    <row r="1024" spans="1:5" s="4" customFormat="1" ht="18" customHeight="1">
      <c r="A1024" s="3" t="str">
        <f>"21342019073009154996823"</f>
        <v>21342019073009154996823</v>
      </c>
      <c r="B1024" s="3" t="s">
        <v>6</v>
      </c>
      <c r="C1024" s="3" t="str">
        <f>"陈丽娟"</f>
        <v>陈丽娟</v>
      </c>
      <c r="D1024" s="3" t="str">
        <f t="shared" si="16"/>
        <v>女</v>
      </c>
      <c r="E1024" s="3" t="str">
        <f>"1995-09-21"</f>
        <v>1995-09-21</v>
      </c>
    </row>
    <row r="1025" spans="1:5" s="4" customFormat="1" ht="18" customHeight="1">
      <c r="A1025" s="3" t="str">
        <f>"21342019073009303196828"</f>
        <v>21342019073009303196828</v>
      </c>
      <c r="B1025" s="3" t="s">
        <v>6</v>
      </c>
      <c r="C1025" s="3" t="str">
        <f>"黄家莉"</f>
        <v>黄家莉</v>
      </c>
      <c r="D1025" s="3" t="str">
        <f t="shared" si="16"/>
        <v>女</v>
      </c>
      <c r="E1025" s="3" t="str">
        <f>"1992-02-11"</f>
        <v>1992-02-11</v>
      </c>
    </row>
    <row r="1026" spans="1:5" s="4" customFormat="1" ht="18" customHeight="1">
      <c r="A1026" s="3" t="str">
        <f>"21342019073009481696837"</f>
        <v>21342019073009481696837</v>
      </c>
      <c r="B1026" s="3" t="s">
        <v>6</v>
      </c>
      <c r="C1026" s="3" t="str">
        <f>"杨丽"</f>
        <v>杨丽</v>
      </c>
      <c r="D1026" s="3" t="str">
        <f t="shared" si="16"/>
        <v>女</v>
      </c>
      <c r="E1026" s="3" t="str">
        <f>"1995-07-20"</f>
        <v>1995-07-20</v>
      </c>
    </row>
    <row r="1027" spans="1:5" s="4" customFormat="1" ht="18" customHeight="1">
      <c r="A1027" s="3" t="str">
        <f>"21342019073009490296838"</f>
        <v>21342019073009490296838</v>
      </c>
      <c r="B1027" s="3" t="s">
        <v>6</v>
      </c>
      <c r="C1027" s="3" t="str">
        <f>"王安妮"</f>
        <v>王安妮</v>
      </c>
      <c r="D1027" s="3" t="str">
        <f t="shared" si="16"/>
        <v>女</v>
      </c>
      <c r="E1027" s="3" t="str">
        <f>"1991-12-05"</f>
        <v>1991-12-05</v>
      </c>
    </row>
    <row r="1028" spans="1:5" s="4" customFormat="1" ht="18" customHeight="1">
      <c r="A1028" s="3" t="str">
        <f>"21342019073009561696839"</f>
        <v>21342019073009561696839</v>
      </c>
      <c r="B1028" s="3" t="s">
        <v>6</v>
      </c>
      <c r="C1028" s="3" t="str">
        <f>"孙杏芳"</f>
        <v>孙杏芳</v>
      </c>
      <c r="D1028" s="3" t="str">
        <f t="shared" si="16"/>
        <v>女</v>
      </c>
      <c r="E1028" s="3" t="str">
        <f>"1996-03-17"</f>
        <v>1996-03-17</v>
      </c>
    </row>
    <row r="1029" spans="1:5" s="4" customFormat="1" ht="18" customHeight="1">
      <c r="A1029" s="3" t="str">
        <f>"21342019073009562296840"</f>
        <v>21342019073009562296840</v>
      </c>
      <c r="B1029" s="3" t="s">
        <v>6</v>
      </c>
      <c r="C1029" s="3" t="str">
        <f>"邢丽娟"</f>
        <v>邢丽娟</v>
      </c>
      <c r="D1029" s="3" t="str">
        <f t="shared" si="16"/>
        <v>女</v>
      </c>
      <c r="E1029" s="3" t="str">
        <f>"1998-01-14"</f>
        <v>1998-01-14</v>
      </c>
    </row>
    <row r="1030" spans="1:5" s="4" customFormat="1" ht="18" customHeight="1">
      <c r="A1030" s="3" t="str">
        <f>"21342019073010001796842"</f>
        <v>21342019073010001796842</v>
      </c>
      <c r="B1030" s="3" t="s">
        <v>6</v>
      </c>
      <c r="C1030" s="3" t="str">
        <f>"侯梦梦"</f>
        <v>侯梦梦</v>
      </c>
      <c r="D1030" s="3" t="str">
        <f t="shared" si="16"/>
        <v>女</v>
      </c>
      <c r="E1030" s="3" t="str">
        <f>"1993-06-12"</f>
        <v>1993-06-12</v>
      </c>
    </row>
    <row r="1031" spans="1:5" s="4" customFormat="1" ht="18" customHeight="1">
      <c r="A1031" s="3" t="str">
        <f>"21342019073010030896845"</f>
        <v>21342019073010030896845</v>
      </c>
      <c r="B1031" s="3" t="s">
        <v>6</v>
      </c>
      <c r="C1031" s="3" t="str">
        <f>"蔡描"</f>
        <v>蔡描</v>
      </c>
      <c r="D1031" s="3" t="str">
        <f t="shared" si="16"/>
        <v>女</v>
      </c>
      <c r="E1031" s="3" t="str">
        <f>"1997-02-10"</f>
        <v>1997-02-10</v>
      </c>
    </row>
    <row r="1032" spans="1:5" s="4" customFormat="1" ht="18" customHeight="1">
      <c r="A1032" s="3" t="str">
        <f>"21342019073010081296851"</f>
        <v>21342019073010081296851</v>
      </c>
      <c r="B1032" s="3" t="s">
        <v>6</v>
      </c>
      <c r="C1032" s="3" t="str">
        <f>"符教联"</f>
        <v>符教联</v>
      </c>
      <c r="D1032" s="3" t="str">
        <f t="shared" si="16"/>
        <v>女</v>
      </c>
      <c r="E1032" s="3" t="str">
        <f>"1995-01-23"</f>
        <v>1995-01-23</v>
      </c>
    </row>
    <row r="1033" spans="1:5" s="4" customFormat="1" ht="18" customHeight="1">
      <c r="A1033" s="3" t="str">
        <f>"21342019073010093996852"</f>
        <v>21342019073010093996852</v>
      </c>
      <c r="B1033" s="3" t="s">
        <v>6</v>
      </c>
      <c r="C1033" s="3" t="str">
        <f>"邢丽满"</f>
        <v>邢丽满</v>
      </c>
      <c r="D1033" s="3" t="str">
        <f t="shared" si="16"/>
        <v>女</v>
      </c>
      <c r="E1033" s="3" t="str">
        <f>"1996-07-09"</f>
        <v>1996-07-09</v>
      </c>
    </row>
    <row r="1034" spans="1:5" s="4" customFormat="1" ht="18" customHeight="1">
      <c r="A1034" s="3" t="str">
        <f>"21342019073010142096856"</f>
        <v>21342019073010142096856</v>
      </c>
      <c r="B1034" s="3" t="s">
        <v>6</v>
      </c>
      <c r="C1034" s="3" t="str">
        <f>"严小静"</f>
        <v>严小静</v>
      </c>
      <c r="D1034" s="3" t="str">
        <f t="shared" si="16"/>
        <v>女</v>
      </c>
      <c r="E1034" s="3" t="str">
        <f>"1993-12-28"</f>
        <v>1993-12-28</v>
      </c>
    </row>
    <row r="1035" spans="1:5" s="4" customFormat="1" ht="18" customHeight="1">
      <c r="A1035" s="3" t="str">
        <f>"21342019073010161496860"</f>
        <v>21342019073010161496860</v>
      </c>
      <c r="B1035" s="3" t="s">
        <v>6</v>
      </c>
      <c r="C1035" s="3" t="str">
        <f>"文保力"</f>
        <v>文保力</v>
      </c>
      <c r="D1035" s="3" t="str">
        <f t="shared" si="16"/>
        <v>女</v>
      </c>
      <c r="E1035" s="3" t="str">
        <f>"1997-10-06"</f>
        <v>1997-10-06</v>
      </c>
    </row>
    <row r="1036" spans="1:5" s="4" customFormat="1" ht="18" customHeight="1">
      <c r="A1036" s="3" t="str">
        <f>"21342019073010163296862"</f>
        <v>21342019073010163296862</v>
      </c>
      <c r="B1036" s="3" t="s">
        <v>6</v>
      </c>
      <c r="C1036" s="3" t="str">
        <f>"王木春"</f>
        <v>王木春</v>
      </c>
      <c r="D1036" s="3" t="str">
        <f t="shared" si="16"/>
        <v>女</v>
      </c>
      <c r="E1036" s="3" t="str">
        <f>"1993-02-09"</f>
        <v>1993-02-09</v>
      </c>
    </row>
    <row r="1037" spans="1:5" s="4" customFormat="1" ht="18" customHeight="1">
      <c r="A1037" s="3" t="str">
        <f>"21342019073010172096863"</f>
        <v>21342019073010172096863</v>
      </c>
      <c r="B1037" s="3" t="s">
        <v>6</v>
      </c>
      <c r="C1037" s="3" t="str">
        <f>"吴海婷"</f>
        <v>吴海婷</v>
      </c>
      <c r="D1037" s="3" t="str">
        <f t="shared" si="16"/>
        <v>女</v>
      </c>
      <c r="E1037" s="3" t="str">
        <f>"1992-08-16"</f>
        <v>1992-08-16</v>
      </c>
    </row>
    <row r="1038" spans="1:5" s="4" customFormat="1" ht="18" customHeight="1">
      <c r="A1038" s="3" t="str">
        <f>"21342019073010232896870"</f>
        <v>21342019073010232896870</v>
      </c>
      <c r="B1038" s="3" t="s">
        <v>6</v>
      </c>
      <c r="C1038" s="3" t="str">
        <f>"邢小翠"</f>
        <v>邢小翠</v>
      </c>
      <c r="D1038" s="3" t="str">
        <f t="shared" si="16"/>
        <v>女</v>
      </c>
      <c r="E1038" s="3" t="str">
        <f>"1991-08-21"</f>
        <v>1991-08-21</v>
      </c>
    </row>
    <row r="1039" spans="1:5" s="4" customFormat="1" ht="18" customHeight="1">
      <c r="A1039" s="3" t="str">
        <f>"21342019073010262296873"</f>
        <v>21342019073010262296873</v>
      </c>
      <c r="B1039" s="3" t="s">
        <v>6</v>
      </c>
      <c r="C1039" s="3" t="str">
        <f>"蔡美玲"</f>
        <v>蔡美玲</v>
      </c>
      <c r="D1039" s="3" t="str">
        <f t="shared" si="16"/>
        <v>女</v>
      </c>
      <c r="E1039" s="3" t="str">
        <f>"1992-05-08"</f>
        <v>1992-05-08</v>
      </c>
    </row>
    <row r="1040" spans="1:5" s="4" customFormat="1" ht="18" customHeight="1">
      <c r="A1040" s="3" t="str">
        <f>"21342019073010285396875"</f>
        <v>21342019073010285396875</v>
      </c>
      <c r="B1040" s="3" t="s">
        <v>6</v>
      </c>
      <c r="C1040" s="3" t="str">
        <f>"蔡冰洁"</f>
        <v>蔡冰洁</v>
      </c>
      <c r="D1040" s="3" t="str">
        <f t="shared" si="16"/>
        <v>女</v>
      </c>
      <c r="E1040" s="3" t="str">
        <f>"1996-08-17"</f>
        <v>1996-08-17</v>
      </c>
    </row>
    <row r="1041" spans="1:5" s="4" customFormat="1" ht="18" customHeight="1">
      <c r="A1041" s="3" t="str">
        <f>"21342019073010303796878"</f>
        <v>21342019073010303796878</v>
      </c>
      <c r="B1041" s="3" t="s">
        <v>6</v>
      </c>
      <c r="C1041" s="3" t="str">
        <f>"关人丹"</f>
        <v>关人丹</v>
      </c>
      <c r="D1041" s="3" t="str">
        <f t="shared" si="16"/>
        <v>女</v>
      </c>
      <c r="E1041" s="3" t="str">
        <f>"1991-07-05"</f>
        <v>1991-07-05</v>
      </c>
    </row>
    <row r="1042" spans="1:5" s="4" customFormat="1" ht="18" customHeight="1">
      <c r="A1042" s="3" t="str">
        <f>"21342019073010342996879"</f>
        <v>21342019073010342996879</v>
      </c>
      <c r="B1042" s="3" t="s">
        <v>6</v>
      </c>
      <c r="C1042" s="3" t="str">
        <f>"陈燕燕"</f>
        <v>陈燕燕</v>
      </c>
      <c r="D1042" s="3" t="str">
        <f t="shared" si="16"/>
        <v>女</v>
      </c>
      <c r="E1042" s="3" t="str">
        <f>"1991-12-09"</f>
        <v>1991-12-09</v>
      </c>
    </row>
    <row r="1043" spans="1:5" s="4" customFormat="1" ht="18" customHeight="1">
      <c r="A1043" s="3" t="str">
        <f>"21342019073010343496880"</f>
        <v>21342019073010343496880</v>
      </c>
      <c r="B1043" s="3" t="s">
        <v>6</v>
      </c>
      <c r="C1043" s="3" t="str">
        <f>"王东露"</f>
        <v>王东露</v>
      </c>
      <c r="D1043" s="3" t="str">
        <f aca="true" t="shared" si="17" ref="D1043:D1106">"女"</f>
        <v>女</v>
      </c>
      <c r="E1043" s="3" t="str">
        <f>"1991-11-14"</f>
        <v>1991-11-14</v>
      </c>
    </row>
    <row r="1044" spans="1:5" s="4" customFormat="1" ht="18" customHeight="1">
      <c r="A1044" s="3" t="str">
        <f>"21342019073010374896884"</f>
        <v>21342019073010374896884</v>
      </c>
      <c r="B1044" s="3" t="s">
        <v>6</v>
      </c>
      <c r="C1044" s="3" t="str">
        <f>"王慧芳"</f>
        <v>王慧芳</v>
      </c>
      <c r="D1044" s="3" t="str">
        <f t="shared" si="17"/>
        <v>女</v>
      </c>
      <c r="E1044" s="3" t="str">
        <f>"1992-05-17"</f>
        <v>1992-05-17</v>
      </c>
    </row>
    <row r="1045" spans="1:5" s="4" customFormat="1" ht="18" customHeight="1">
      <c r="A1045" s="3" t="str">
        <f>"21342019073010402296885"</f>
        <v>21342019073010402296885</v>
      </c>
      <c r="B1045" s="3" t="s">
        <v>6</v>
      </c>
      <c r="C1045" s="3" t="str">
        <f>"曾继丹"</f>
        <v>曾继丹</v>
      </c>
      <c r="D1045" s="3" t="str">
        <f t="shared" si="17"/>
        <v>女</v>
      </c>
      <c r="E1045" s="3" t="str">
        <f>"1991-01-02"</f>
        <v>1991-01-02</v>
      </c>
    </row>
    <row r="1046" spans="1:5" s="4" customFormat="1" ht="18" customHeight="1">
      <c r="A1046" s="3" t="str">
        <f>"21342019073010420696886"</f>
        <v>21342019073010420696886</v>
      </c>
      <c r="B1046" s="3" t="s">
        <v>6</v>
      </c>
      <c r="C1046" s="3" t="str">
        <f>"吴惠琴"</f>
        <v>吴惠琴</v>
      </c>
      <c r="D1046" s="3" t="str">
        <f t="shared" si="17"/>
        <v>女</v>
      </c>
      <c r="E1046" s="3" t="str">
        <f>"1995-10-22"</f>
        <v>1995-10-22</v>
      </c>
    </row>
    <row r="1047" spans="1:5" s="4" customFormat="1" ht="18" customHeight="1">
      <c r="A1047" s="3" t="str">
        <f>"21342019073010441696887"</f>
        <v>21342019073010441696887</v>
      </c>
      <c r="B1047" s="3" t="s">
        <v>6</v>
      </c>
      <c r="C1047" s="3" t="str">
        <f>"符喜真"</f>
        <v>符喜真</v>
      </c>
      <c r="D1047" s="3" t="str">
        <f t="shared" si="17"/>
        <v>女</v>
      </c>
      <c r="E1047" s="3" t="str">
        <f>"1990-07-13"</f>
        <v>1990-07-13</v>
      </c>
    </row>
    <row r="1048" spans="1:5" s="4" customFormat="1" ht="18" customHeight="1">
      <c r="A1048" s="3" t="str">
        <f>"21342019073010501496890"</f>
        <v>21342019073010501496890</v>
      </c>
      <c r="B1048" s="3" t="s">
        <v>6</v>
      </c>
      <c r="C1048" s="3" t="str">
        <f>"吴海秋"</f>
        <v>吴海秋</v>
      </c>
      <c r="D1048" s="3" t="str">
        <f t="shared" si="17"/>
        <v>女</v>
      </c>
      <c r="E1048" s="3" t="str">
        <f>"1995-05-16"</f>
        <v>1995-05-16</v>
      </c>
    </row>
    <row r="1049" spans="1:5" s="4" customFormat="1" ht="18" customHeight="1">
      <c r="A1049" s="3" t="str">
        <f>"21342019073010505596891"</f>
        <v>21342019073010505596891</v>
      </c>
      <c r="B1049" s="3" t="s">
        <v>6</v>
      </c>
      <c r="C1049" s="3" t="str">
        <f>"黄思思"</f>
        <v>黄思思</v>
      </c>
      <c r="D1049" s="3" t="str">
        <f t="shared" si="17"/>
        <v>女</v>
      </c>
      <c r="E1049" s="3" t="str">
        <f>"1996-09-11"</f>
        <v>1996-09-11</v>
      </c>
    </row>
    <row r="1050" spans="1:5" s="4" customFormat="1" ht="18" customHeight="1">
      <c r="A1050" s="3" t="str">
        <f>"21342019073010531196894"</f>
        <v>21342019073010531196894</v>
      </c>
      <c r="B1050" s="3" t="s">
        <v>6</v>
      </c>
      <c r="C1050" s="3" t="str">
        <f>"曾宝伦"</f>
        <v>曾宝伦</v>
      </c>
      <c r="D1050" s="3" t="str">
        <f t="shared" si="17"/>
        <v>女</v>
      </c>
      <c r="E1050" s="3" t="str">
        <f>"1993-09-30"</f>
        <v>1993-09-30</v>
      </c>
    </row>
    <row r="1051" spans="1:5" s="4" customFormat="1" ht="18" customHeight="1">
      <c r="A1051" s="3" t="str">
        <f>"21342019073010595096898"</f>
        <v>21342019073010595096898</v>
      </c>
      <c r="B1051" s="3" t="s">
        <v>6</v>
      </c>
      <c r="C1051" s="3" t="str">
        <f>"王丽君"</f>
        <v>王丽君</v>
      </c>
      <c r="D1051" s="3" t="str">
        <f t="shared" si="17"/>
        <v>女</v>
      </c>
      <c r="E1051" s="3" t="str">
        <f>"1992-10-03"</f>
        <v>1992-10-03</v>
      </c>
    </row>
    <row r="1052" spans="1:5" s="4" customFormat="1" ht="18" customHeight="1">
      <c r="A1052" s="3" t="str">
        <f>"21342019073011021596900"</f>
        <v>21342019073011021596900</v>
      </c>
      <c r="B1052" s="3" t="s">
        <v>6</v>
      </c>
      <c r="C1052" s="3" t="str">
        <f>"李亚珠"</f>
        <v>李亚珠</v>
      </c>
      <c r="D1052" s="3" t="str">
        <f t="shared" si="17"/>
        <v>女</v>
      </c>
      <c r="E1052" s="3" t="str">
        <f>"1995-01-29"</f>
        <v>1995-01-29</v>
      </c>
    </row>
    <row r="1053" spans="1:5" s="4" customFormat="1" ht="18" customHeight="1">
      <c r="A1053" s="3" t="str">
        <f>"21342019073011125896905"</f>
        <v>21342019073011125896905</v>
      </c>
      <c r="B1053" s="3" t="s">
        <v>6</v>
      </c>
      <c r="C1053" s="3" t="str">
        <f>"洪春娃"</f>
        <v>洪春娃</v>
      </c>
      <c r="D1053" s="3" t="str">
        <f t="shared" si="17"/>
        <v>女</v>
      </c>
      <c r="E1053" s="3" t="str">
        <f>"1993-03-12"</f>
        <v>1993-03-12</v>
      </c>
    </row>
    <row r="1054" spans="1:5" s="4" customFormat="1" ht="18" customHeight="1">
      <c r="A1054" s="3" t="str">
        <f>"21342019073011152896907"</f>
        <v>21342019073011152896907</v>
      </c>
      <c r="B1054" s="3" t="s">
        <v>6</v>
      </c>
      <c r="C1054" s="3" t="str">
        <f>"卢丽江"</f>
        <v>卢丽江</v>
      </c>
      <c r="D1054" s="3" t="str">
        <f t="shared" si="17"/>
        <v>女</v>
      </c>
      <c r="E1054" s="3" t="str">
        <f>"1995-08-01"</f>
        <v>1995-08-01</v>
      </c>
    </row>
    <row r="1055" spans="1:5" s="4" customFormat="1" ht="18" customHeight="1">
      <c r="A1055" s="3" t="str">
        <f>"21342019073011173496913"</f>
        <v>21342019073011173496913</v>
      </c>
      <c r="B1055" s="3" t="s">
        <v>6</v>
      </c>
      <c r="C1055" s="3" t="str">
        <f>"韩肖"</f>
        <v>韩肖</v>
      </c>
      <c r="D1055" s="3" t="str">
        <f t="shared" si="17"/>
        <v>女</v>
      </c>
      <c r="E1055" s="3" t="str">
        <f>"1990-02-18"</f>
        <v>1990-02-18</v>
      </c>
    </row>
    <row r="1056" spans="1:5" s="4" customFormat="1" ht="18" customHeight="1">
      <c r="A1056" s="3" t="str">
        <f>"21342019073011195296915"</f>
        <v>21342019073011195296915</v>
      </c>
      <c r="B1056" s="3" t="s">
        <v>6</v>
      </c>
      <c r="C1056" s="3" t="str">
        <f>"陈秋盈"</f>
        <v>陈秋盈</v>
      </c>
      <c r="D1056" s="3" t="str">
        <f t="shared" si="17"/>
        <v>女</v>
      </c>
      <c r="E1056" s="3" t="str">
        <f>"1993-06-12"</f>
        <v>1993-06-12</v>
      </c>
    </row>
    <row r="1057" spans="1:5" s="4" customFormat="1" ht="18" customHeight="1">
      <c r="A1057" s="3" t="str">
        <f>"21342019073011203196918"</f>
        <v>21342019073011203196918</v>
      </c>
      <c r="B1057" s="3" t="s">
        <v>6</v>
      </c>
      <c r="C1057" s="3" t="str">
        <f>"李广娜"</f>
        <v>李广娜</v>
      </c>
      <c r="D1057" s="3" t="str">
        <f t="shared" si="17"/>
        <v>女</v>
      </c>
      <c r="E1057" s="3" t="str">
        <f>"1994-07-24"</f>
        <v>1994-07-24</v>
      </c>
    </row>
    <row r="1058" spans="1:5" s="4" customFormat="1" ht="18" customHeight="1">
      <c r="A1058" s="3" t="str">
        <f>"21342019073011204796919"</f>
        <v>21342019073011204796919</v>
      </c>
      <c r="B1058" s="3" t="s">
        <v>6</v>
      </c>
      <c r="C1058" s="3" t="str">
        <f>"崔亚引"</f>
        <v>崔亚引</v>
      </c>
      <c r="D1058" s="3" t="str">
        <f t="shared" si="17"/>
        <v>女</v>
      </c>
      <c r="E1058" s="3" t="str">
        <f>"1990-04-18"</f>
        <v>1990-04-18</v>
      </c>
    </row>
    <row r="1059" spans="1:5" s="4" customFormat="1" ht="18" customHeight="1">
      <c r="A1059" s="3" t="str">
        <f>"21342019073011290896925"</f>
        <v>21342019073011290896925</v>
      </c>
      <c r="B1059" s="3" t="s">
        <v>6</v>
      </c>
      <c r="C1059" s="3" t="str">
        <f>"林香巽"</f>
        <v>林香巽</v>
      </c>
      <c r="D1059" s="3" t="str">
        <f t="shared" si="17"/>
        <v>女</v>
      </c>
      <c r="E1059" s="3" t="str">
        <f>"1992-02-05"</f>
        <v>1992-02-05</v>
      </c>
    </row>
    <row r="1060" spans="1:5" s="4" customFormat="1" ht="18" customHeight="1">
      <c r="A1060" s="3" t="str">
        <f>"21342019073011314796928"</f>
        <v>21342019073011314796928</v>
      </c>
      <c r="B1060" s="3" t="s">
        <v>6</v>
      </c>
      <c r="C1060" s="3" t="str">
        <f>"俞玥婷"</f>
        <v>俞玥婷</v>
      </c>
      <c r="D1060" s="3" t="str">
        <f t="shared" si="17"/>
        <v>女</v>
      </c>
      <c r="E1060" s="3" t="str">
        <f>"1990-06-04"</f>
        <v>1990-06-04</v>
      </c>
    </row>
    <row r="1061" spans="1:5" s="4" customFormat="1" ht="18" customHeight="1">
      <c r="A1061" s="3" t="str">
        <f>"21342019073011364096931"</f>
        <v>21342019073011364096931</v>
      </c>
      <c r="B1061" s="3" t="s">
        <v>6</v>
      </c>
      <c r="C1061" s="3" t="str">
        <f>"江青琴"</f>
        <v>江青琴</v>
      </c>
      <c r="D1061" s="3" t="str">
        <f t="shared" si="17"/>
        <v>女</v>
      </c>
      <c r="E1061" s="3" t="str">
        <f>"1996-05-02"</f>
        <v>1996-05-02</v>
      </c>
    </row>
    <row r="1062" spans="1:5" s="4" customFormat="1" ht="18" customHeight="1">
      <c r="A1062" s="3" t="str">
        <f>"21342019073011402596934"</f>
        <v>21342019073011402596934</v>
      </c>
      <c r="B1062" s="3" t="s">
        <v>6</v>
      </c>
      <c r="C1062" s="3" t="str">
        <f>"邓婷丹"</f>
        <v>邓婷丹</v>
      </c>
      <c r="D1062" s="3" t="str">
        <f t="shared" si="17"/>
        <v>女</v>
      </c>
      <c r="E1062" s="3" t="str">
        <f>"1997-03-01"</f>
        <v>1997-03-01</v>
      </c>
    </row>
    <row r="1063" spans="1:5" s="4" customFormat="1" ht="18" customHeight="1">
      <c r="A1063" s="3" t="str">
        <f>"21342019073011411596935"</f>
        <v>21342019073011411596935</v>
      </c>
      <c r="B1063" s="3" t="s">
        <v>6</v>
      </c>
      <c r="C1063" s="3" t="str">
        <f>"苏冬梅"</f>
        <v>苏冬梅</v>
      </c>
      <c r="D1063" s="3" t="str">
        <f t="shared" si="17"/>
        <v>女</v>
      </c>
      <c r="E1063" s="3" t="str">
        <f>"1997-10-08"</f>
        <v>1997-10-08</v>
      </c>
    </row>
    <row r="1064" spans="1:5" s="4" customFormat="1" ht="18" customHeight="1">
      <c r="A1064" s="3" t="str">
        <f>"21342019073011414596936"</f>
        <v>21342019073011414596936</v>
      </c>
      <c r="B1064" s="3" t="s">
        <v>6</v>
      </c>
      <c r="C1064" s="3" t="str">
        <f>"郭嫦媛"</f>
        <v>郭嫦媛</v>
      </c>
      <c r="D1064" s="3" t="str">
        <f t="shared" si="17"/>
        <v>女</v>
      </c>
      <c r="E1064" s="3" t="str">
        <f>"1994-03-10"</f>
        <v>1994-03-10</v>
      </c>
    </row>
    <row r="1065" spans="1:5" s="4" customFormat="1" ht="18" customHeight="1">
      <c r="A1065" s="3" t="str">
        <f>"21342019073011433796937"</f>
        <v>21342019073011433796937</v>
      </c>
      <c r="B1065" s="3" t="s">
        <v>6</v>
      </c>
      <c r="C1065" s="3" t="str">
        <f>"符燕灵"</f>
        <v>符燕灵</v>
      </c>
      <c r="D1065" s="3" t="str">
        <f t="shared" si="17"/>
        <v>女</v>
      </c>
      <c r="E1065" s="3" t="str">
        <f>"1991-02-06"</f>
        <v>1991-02-06</v>
      </c>
    </row>
    <row r="1066" spans="1:5" s="4" customFormat="1" ht="18" customHeight="1">
      <c r="A1066" s="3" t="str">
        <f>"21342019073011434196938"</f>
        <v>21342019073011434196938</v>
      </c>
      <c r="B1066" s="3" t="s">
        <v>6</v>
      </c>
      <c r="C1066" s="3" t="str">
        <f>"林秋"</f>
        <v>林秋</v>
      </c>
      <c r="D1066" s="3" t="str">
        <f t="shared" si="17"/>
        <v>女</v>
      </c>
      <c r="E1066" s="3" t="str">
        <f>"1996-03-16"</f>
        <v>1996-03-16</v>
      </c>
    </row>
    <row r="1067" spans="1:5" s="4" customFormat="1" ht="18" customHeight="1">
      <c r="A1067" s="3" t="str">
        <f>"21342019073011540696946"</f>
        <v>21342019073011540696946</v>
      </c>
      <c r="B1067" s="3" t="s">
        <v>6</v>
      </c>
      <c r="C1067" s="3" t="str">
        <f>"王茹"</f>
        <v>王茹</v>
      </c>
      <c r="D1067" s="3" t="str">
        <f t="shared" si="17"/>
        <v>女</v>
      </c>
      <c r="E1067" s="3" t="str">
        <f>"1992-02-16"</f>
        <v>1992-02-16</v>
      </c>
    </row>
    <row r="1068" spans="1:5" s="4" customFormat="1" ht="18" customHeight="1">
      <c r="A1068" s="3" t="str">
        <f>"21342019073012160996954"</f>
        <v>21342019073012160996954</v>
      </c>
      <c r="B1068" s="3" t="s">
        <v>6</v>
      </c>
      <c r="C1068" s="3" t="str">
        <f>"王若柳"</f>
        <v>王若柳</v>
      </c>
      <c r="D1068" s="3" t="str">
        <f t="shared" si="17"/>
        <v>女</v>
      </c>
      <c r="E1068" s="3" t="str">
        <f>"1995-09-06"</f>
        <v>1995-09-06</v>
      </c>
    </row>
    <row r="1069" spans="1:5" s="4" customFormat="1" ht="18" customHeight="1">
      <c r="A1069" s="3" t="str">
        <f>"21342019073012173696956"</f>
        <v>21342019073012173696956</v>
      </c>
      <c r="B1069" s="3" t="s">
        <v>6</v>
      </c>
      <c r="C1069" s="3" t="str">
        <f>"林小花"</f>
        <v>林小花</v>
      </c>
      <c r="D1069" s="3" t="str">
        <f t="shared" si="17"/>
        <v>女</v>
      </c>
      <c r="E1069" s="3" t="str">
        <f>"1991-08-04"</f>
        <v>1991-08-04</v>
      </c>
    </row>
    <row r="1070" spans="1:5" s="4" customFormat="1" ht="18" customHeight="1">
      <c r="A1070" s="3" t="str">
        <f>"21342019073012222296958"</f>
        <v>21342019073012222296958</v>
      </c>
      <c r="B1070" s="3" t="s">
        <v>6</v>
      </c>
      <c r="C1070" s="3" t="str">
        <f>"张兰娟"</f>
        <v>张兰娟</v>
      </c>
      <c r="D1070" s="3" t="str">
        <f t="shared" si="17"/>
        <v>女</v>
      </c>
      <c r="E1070" s="3" t="str">
        <f>"1990-08-10"</f>
        <v>1990-08-10</v>
      </c>
    </row>
    <row r="1071" spans="1:5" s="4" customFormat="1" ht="18" customHeight="1">
      <c r="A1071" s="3" t="str">
        <f>"21342019073012223196959"</f>
        <v>21342019073012223196959</v>
      </c>
      <c r="B1071" s="3" t="s">
        <v>6</v>
      </c>
      <c r="C1071" s="3" t="str">
        <f>"陈月姣"</f>
        <v>陈月姣</v>
      </c>
      <c r="D1071" s="3" t="str">
        <f t="shared" si="17"/>
        <v>女</v>
      </c>
      <c r="E1071" s="3" t="str">
        <f>"1995-06-05"</f>
        <v>1995-06-05</v>
      </c>
    </row>
    <row r="1072" spans="1:5" s="4" customFormat="1" ht="18" customHeight="1">
      <c r="A1072" s="3" t="str">
        <f>"21342019073012234796961"</f>
        <v>21342019073012234796961</v>
      </c>
      <c r="B1072" s="3" t="s">
        <v>6</v>
      </c>
      <c r="C1072" s="3" t="str">
        <f>"陈保娟"</f>
        <v>陈保娟</v>
      </c>
      <c r="D1072" s="3" t="str">
        <f t="shared" si="17"/>
        <v>女</v>
      </c>
      <c r="E1072" s="3" t="str">
        <f>"1992-04-02"</f>
        <v>1992-04-02</v>
      </c>
    </row>
    <row r="1073" spans="1:5" s="4" customFormat="1" ht="18" customHeight="1">
      <c r="A1073" s="3" t="str">
        <f>"21342019073012265796962"</f>
        <v>21342019073012265796962</v>
      </c>
      <c r="B1073" s="3" t="s">
        <v>6</v>
      </c>
      <c r="C1073" s="3" t="str">
        <f>"符丽梅"</f>
        <v>符丽梅</v>
      </c>
      <c r="D1073" s="3" t="str">
        <f t="shared" si="17"/>
        <v>女</v>
      </c>
      <c r="E1073" s="3" t="str">
        <f>"1993-08-07"</f>
        <v>1993-08-07</v>
      </c>
    </row>
    <row r="1074" spans="1:5" s="4" customFormat="1" ht="18" customHeight="1">
      <c r="A1074" s="3" t="str">
        <f>"21342019073012294796965"</f>
        <v>21342019073012294796965</v>
      </c>
      <c r="B1074" s="3" t="s">
        <v>6</v>
      </c>
      <c r="C1074" s="3" t="str">
        <f>"王玲"</f>
        <v>王玲</v>
      </c>
      <c r="D1074" s="3" t="str">
        <f t="shared" si="17"/>
        <v>女</v>
      </c>
      <c r="E1074" s="3" t="str">
        <f>"1993-01-16"</f>
        <v>1993-01-16</v>
      </c>
    </row>
    <row r="1075" spans="1:5" s="4" customFormat="1" ht="18" customHeight="1">
      <c r="A1075" s="3" t="str">
        <f>"21342019073012341596967"</f>
        <v>21342019073012341596967</v>
      </c>
      <c r="B1075" s="3" t="s">
        <v>6</v>
      </c>
      <c r="C1075" s="3" t="str">
        <f>"黄子芳"</f>
        <v>黄子芳</v>
      </c>
      <c r="D1075" s="3" t="str">
        <f t="shared" si="17"/>
        <v>女</v>
      </c>
      <c r="E1075" s="3" t="str">
        <f>"1999-09-11"</f>
        <v>1999-09-11</v>
      </c>
    </row>
    <row r="1076" spans="1:5" s="4" customFormat="1" ht="18" customHeight="1">
      <c r="A1076" s="3" t="str">
        <f>"21342019073012450996973"</f>
        <v>21342019073012450996973</v>
      </c>
      <c r="B1076" s="3" t="s">
        <v>6</v>
      </c>
      <c r="C1076" s="3" t="str">
        <f>"郑俏丽"</f>
        <v>郑俏丽</v>
      </c>
      <c r="D1076" s="3" t="str">
        <f t="shared" si="17"/>
        <v>女</v>
      </c>
      <c r="E1076" s="3" t="str">
        <f>"1996-05-27"</f>
        <v>1996-05-27</v>
      </c>
    </row>
    <row r="1077" spans="1:5" s="4" customFormat="1" ht="18" customHeight="1">
      <c r="A1077" s="3" t="str">
        <f>"21342019073012450996974"</f>
        <v>21342019073012450996974</v>
      </c>
      <c r="B1077" s="3" t="s">
        <v>6</v>
      </c>
      <c r="C1077" s="3" t="str">
        <f>"陈晓敏"</f>
        <v>陈晓敏</v>
      </c>
      <c r="D1077" s="3" t="str">
        <f t="shared" si="17"/>
        <v>女</v>
      </c>
      <c r="E1077" s="3" t="str">
        <f>"1992-03-07"</f>
        <v>1992-03-07</v>
      </c>
    </row>
    <row r="1078" spans="1:5" s="4" customFormat="1" ht="18" customHeight="1">
      <c r="A1078" s="3" t="str">
        <f>"21342019073012465996976"</f>
        <v>21342019073012465996976</v>
      </c>
      <c r="B1078" s="3" t="s">
        <v>6</v>
      </c>
      <c r="C1078" s="3" t="str">
        <f>"韩茜茜"</f>
        <v>韩茜茜</v>
      </c>
      <c r="D1078" s="3" t="str">
        <f t="shared" si="17"/>
        <v>女</v>
      </c>
      <c r="E1078" s="3" t="str">
        <f>"1995-08-19"</f>
        <v>1995-08-19</v>
      </c>
    </row>
    <row r="1079" spans="1:5" s="4" customFormat="1" ht="18" customHeight="1">
      <c r="A1079" s="3" t="str">
        <f>"21342019073012504896980"</f>
        <v>21342019073012504896980</v>
      </c>
      <c r="B1079" s="3" t="s">
        <v>6</v>
      </c>
      <c r="C1079" s="3" t="str">
        <f>"林丹丹"</f>
        <v>林丹丹</v>
      </c>
      <c r="D1079" s="3" t="str">
        <f t="shared" si="17"/>
        <v>女</v>
      </c>
      <c r="E1079" s="3" t="str">
        <f>"1995-08-01"</f>
        <v>1995-08-01</v>
      </c>
    </row>
    <row r="1080" spans="1:5" s="4" customFormat="1" ht="18" customHeight="1">
      <c r="A1080" s="3" t="str">
        <f>"21342019073012570996983"</f>
        <v>21342019073012570996983</v>
      </c>
      <c r="B1080" s="3" t="s">
        <v>6</v>
      </c>
      <c r="C1080" s="3" t="str">
        <f>"阮白雨"</f>
        <v>阮白雨</v>
      </c>
      <c r="D1080" s="3" t="str">
        <f t="shared" si="17"/>
        <v>女</v>
      </c>
      <c r="E1080" s="3" t="str">
        <f>"1996-08-08"</f>
        <v>1996-08-08</v>
      </c>
    </row>
    <row r="1081" spans="1:5" s="4" customFormat="1" ht="18" customHeight="1">
      <c r="A1081" s="3" t="str">
        <f>"21342019073012575796984"</f>
        <v>21342019073012575796984</v>
      </c>
      <c r="B1081" s="3" t="s">
        <v>6</v>
      </c>
      <c r="C1081" s="3" t="str">
        <f>"符泳珠"</f>
        <v>符泳珠</v>
      </c>
      <c r="D1081" s="3" t="str">
        <f t="shared" si="17"/>
        <v>女</v>
      </c>
      <c r="E1081" s="3" t="str">
        <f>"1997-09-05"</f>
        <v>1997-09-05</v>
      </c>
    </row>
    <row r="1082" spans="1:5" s="4" customFormat="1" ht="18" customHeight="1">
      <c r="A1082" s="3" t="str">
        <f>"21342019073013035696985"</f>
        <v>21342019073013035696985</v>
      </c>
      <c r="B1082" s="3" t="s">
        <v>6</v>
      </c>
      <c r="C1082" s="3" t="str">
        <f>"邢丽燕"</f>
        <v>邢丽燕</v>
      </c>
      <c r="D1082" s="3" t="str">
        <f t="shared" si="17"/>
        <v>女</v>
      </c>
      <c r="E1082" s="3" t="str">
        <f>"1996-08-10"</f>
        <v>1996-08-10</v>
      </c>
    </row>
    <row r="1083" spans="1:5" s="4" customFormat="1" ht="18" customHeight="1">
      <c r="A1083" s="3" t="str">
        <f>"21342019073013062896986"</f>
        <v>21342019073013062896986</v>
      </c>
      <c r="B1083" s="3" t="s">
        <v>6</v>
      </c>
      <c r="C1083" s="3" t="str">
        <f>"刘家欣"</f>
        <v>刘家欣</v>
      </c>
      <c r="D1083" s="3" t="str">
        <f t="shared" si="17"/>
        <v>女</v>
      </c>
      <c r="E1083" s="3" t="str">
        <f>"1996-01-13"</f>
        <v>1996-01-13</v>
      </c>
    </row>
    <row r="1084" spans="1:5" s="4" customFormat="1" ht="18" customHeight="1">
      <c r="A1084" s="3" t="str">
        <f>"21342019073013102196989"</f>
        <v>21342019073013102196989</v>
      </c>
      <c r="B1084" s="3" t="s">
        <v>6</v>
      </c>
      <c r="C1084" s="3" t="str">
        <f>"岑永精"</f>
        <v>岑永精</v>
      </c>
      <c r="D1084" s="3" t="str">
        <f t="shared" si="17"/>
        <v>女</v>
      </c>
      <c r="E1084" s="3" t="str">
        <f>"1993-01-16"</f>
        <v>1993-01-16</v>
      </c>
    </row>
    <row r="1085" spans="1:5" s="4" customFormat="1" ht="18" customHeight="1">
      <c r="A1085" s="3" t="str">
        <f>"21342019073013133596992"</f>
        <v>21342019073013133596992</v>
      </c>
      <c r="B1085" s="3" t="s">
        <v>6</v>
      </c>
      <c r="C1085" s="3" t="str">
        <f>"吴红菊"</f>
        <v>吴红菊</v>
      </c>
      <c r="D1085" s="3" t="str">
        <f t="shared" si="17"/>
        <v>女</v>
      </c>
      <c r="E1085" s="3" t="str">
        <f>"1990-03-14"</f>
        <v>1990-03-14</v>
      </c>
    </row>
    <row r="1086" spans="1:5" s="4" customFormat="1" ht="18" customHeight="1">
      <c r="A1086" s="3" t="str">
        <f>"21342019073013302596997"</f>
        <v>21342019073013302596997</v>
      </c>
      <c r="B1086" s="3" t="s">
        <v>6</v>
      </c>
      <c r="C1086" s="3" t="str">
        <f>"王玮玮"</f>
        <v>王玮玮</v>
      </c>
      <c r="D1086" s="3" t="str">
        <f t="shared" si="17"/>
        <v>女</v>
      </c>
      <c r="E1086" s="3" t="str">
        <f>"1991-02-18"</f>
        <v>1991-02-18</v>
      </c>
    </row>
    <row r="1087" spans="1:5" s="4" customFormat="1" ht="18" customHeight="1">
      <c r="A1087" s="3" t="str">
        <f>"21342019073013421397001"</f>
        <v>21342019073013421397001</v>
      </c>
      <c r="B1087" s="3" t="s">
        <v>6</v>
      </c>
      <c r="C1087" s="3" t="str">
        <f>"许萍"</f>
        <v>许萍</v>
      </c>
      <c r="D1087" s="3" t="str">
        <f t="shared" si="17"/>
        <v>女</v>
      </c>
      <c r="E1087" s="3" t="str">
        <f>"1996-09-29"</f>
        <v>1996-09-29</v>
      </c>
    </row>
    <row r="1088" spans="1:5" s="4" customFormat="1" ht="18" customHeight="1">
      <c r="A1088" s="3" t="str">
        <f>"21342019073013502297003"</f>
        <v>21342019073013502297003</v>
      </c>
      <c r="B1088" s="3" t="s">
        <v>6</v>
      </c>
      <c r="C1088" s="3" t="str">
        <f>"符亚娘"</f>
        <v>符亚娘</v>
      </c>
      <c r="D1088" s="3" t="str">
        <f t="shared" si="17"/>
        <v>女</v>
      </c>
      <c r="E1088" s="3" t="str">
        <f>"1992-10-03"</f>
        <v>1992-10-03</v>
      </c>
    </row>
    <row r="1089" spans="1:5" s="4" customFormat="1" ht="18" customHeight="1">
      <c r="A1089" s="3" t="str">
        <f>"21342019073013524197004"</f>
        <v>21342019073013524197004</v>
      </c>
      <c r="B1089" s="3" t="s">
        <v>6</v>
      </c>
      <c r="C1089" s="3" t="str">
        <f>"郭益翠"</f>
        <v>郭益翠</v>
      </c>
      <c r="D1089" s="3" t="str">
        <f t="shared" si="17"/>
        <v>女</v>
      </c>
      <c r="E1089" s="3" t="str">
        <f>"1994-06-06"</f>
        <v>1994-06-06</v>
      </c>
    </row>
    <row r="1090" spans="1:5" s="4" customFormat="1" ht="18" customHeight="1">
      <c r="A1090" s="3" t="str">
        <f>"21342019073013575897006"</f>
        <v>21342019073013575897006</v>
      </c>
      <c r="B1090" s="3" t="s">
        <v>6</v>
      </c>
      <c r="C1090" s="3" t="str">
        <f>"梁曼"</f>
        <v>梁曼</v>
      </c>
      <c r="D1090" s="3" t="str">
        <f t="shared" si="17"/>
        <v>女</v>
      </c>
      <c r="E1090" s="3" t="str">
        <f>"1997-07-07"</f>
        <v>1997-07-07</v>
      </c>
    </row>
    <row r="1091" spans="1:5" s="4" customFormat="1" ht="18" customHeight="1">
      <c r="A1091" s="3" t="str">
        <f>"21342019073013590897007"</f>
        <v>21342019073013590897007</v>
      </c>
      <c r="B1091" s="3" t="s">
        <v>6</v>
      </c>
      <c r="C1091" s="3" t="str">
        <f>"林之慧"</f>
        <v>林之慧</v>
      </c>
      <c r="D1091" s="3" t="str">
        <f t="shared" si="17"/>
        <v>女</v>
      </c>
      <c r="E1091" s="3" t="str">
        <f>"1990-10-12"</f>
        <v>1990-10-12</v>
      </c>
    </row>
    <row r="1092" spans="1:5" s="4" customFormat="1" ht="18" customHeight="1">
      <c r="A1092" s="3" t="str">
        <f>"21342019073014240197013"</f>
        <v>21342019073014240197013</v>
      </c>
      <c r="B1092" s="3" t="s">
        <v>6</v>
      </c>
      <c r="C1092" s="3" t="str">
        <f>"李敏"</f>
        <v>李敏</v>
      </c>
      <c r="D1092" s="3" t="str">
        <f t="shared" si="17"/>
        <v>女</v>
      </c>
      <c r="E1092" s="3" t="str">
        <f>"1995-02-08"</f>
        <v>1995-02-08</v>
      </c>
    </row>
    <row r="1093" spans="1:5" s="4" customFormat="1" ht="18" customHeight="1">
      <c r="A1093" s="3" t="str">
        <f>"21342019073014263197015"</f>
        <v>21342019073014263197015</v>
      </c>
      <c r="B1093" s="3" t="s">
        <v>6</v>
      </c>
      <c r="C1093" s="3" t="str">
        <f>"王妹"</f>
        <v>王妹</v>
      </c>
      <c r="D1093" s="3" t="str">
        <f t="shared" si="17"/>
        <v>女</v>
      </c>
      <c r="E1093" s="3" t="str">
        <f>"1997-09-27"</f>
        <v>1997-09-27</v>
      </c>
    </row>
    <row r="1094" spans="1:5" s="4" customFormat="1" ht="18" customHeight="1">
      <c r="A1094" s="3" t="str">
        <f>"21342019073014291097017"</f>
        <v>21342019073014291097017</v>
      </c>
      <c r="B1094" s="3" t="s">
        <v>6</v>
      </c>
      <c r="C1094" s="3" t="str">
        <f>"罗依婷"</f>
        <v>罗依婷</v>
      </c>
      <c r="D1094" s="3" t="str">
        <f t="shared" si="17"/>
        <v>女</v>
      </c>
      <c r="E1094" s="3" t="str">
        <f>"1992-11-18"</f>
        <v>1992-11-18</v>
      </c>
    </row>
    <row r="1095" spans="1:5" s="4" customFormat="1" ht="18" customHeight="1">
      <c r="A1095" s="3" t="str">
        <f>"21342019073014302797018"</f>
        <v>21342019073014302797018</v>
      </c>
      <c r="B1095" s="3" t="s">
        <v>6</v>
      </c>
      <c r="C1095" s="3" t="str">
        <f>"李学菊"</f>
        <v>李学菊</v>
      </c>
      <c r="D1095" s="3" t="str">
        <f t="shared" si="17"/>
        <v>女</v>
      </c>
      <c r="E1095" s="3" t="str">
        <f>"1994-06-22"</f>
        <v>1994-06-22</v>
      </c>
    </row>
    <row r="1096" spans="1:5" s="4" customFormat="1" ht="18" customHeight="1">
      <c r="A1096" s="3" t="str">
        <f>"21342019073014365597021"</f>
        <v>21342019073014365597021</v>
      </c>
      <c r="B1096" s="3" t="s">
        <v>6</v>
      </c>
      <c r="C1096" s="3" t="str">
        <f>"王康雨"</f>
        <v>王康雨</v>
      </c>
      <c r="D1096" s="3" t="str">
        <f t="shared" si="17"/>
        <v>女</v>
      </c>
      <c r="E1096" s="3" t="str">
        <f>"1996-06-17"</f>
        <v>1996-06-17</v>
      </c>
    </row>
    <row r="1097" spans="1:5" s="4" customFormat="1" ht="18" customHeight="1">
      <c r="A1097" s="3" t="str">
        <f>"21342019073014411697022"</f>
        <v>21342019073014411697022</v>
      </c>
      <c r="B1097" s="3" t="s">
        <v>6</v>
      </c>
      <c r="C1097" s="3" t="str">
        <f>"刘素兰"</f>
        <v>刘素兰</v>
      </c>
      <c r="D1097" s="3" t="str">
        <f t="shared" si="17"/>
        <v>女</v>
      </c>
      <c r="E1097" s="3" t="str">
        <f>"1992-12-14"</f>
        <v>1992-12-14</v>
      </c>
    </row>
    <row r="1098" spans="1:5" s="4" customFormat="1" ht="18" customHeight="1">
      <c r="A1098" s="3" t="str">
        <f>"21342019073014584997031"</f>
        <v>21342019073014584997031</v>
      </c>
      <c r="B1098" s="3" t="s">
        <v>6</v>
      </c>
      <c r="C1098" s="3" t="str">
        <f>"陈利沙"</f>
        <v>陈利沙</v>
      </c>
      <c r="D1098" s="3" t="str">
        <f t="shared" si="17"/>
        <v>女</v>
      </c>
      <c r="E1098" s="3" t="str">
        <f>"1993-10-08"</f>
        <v>1993-10-08</v>
      </c>
    </row>
    <row r="1099" spans="1:5" s="4" customFormat="1" ht="18" customHeight="1">
      <c r="A1099" s="3" t="str">
        <f>"21342019073015163197038"</f>
        <v>21342019073015163197038</v>
      </c>
      <c r="B1099" s="3" t="s">
        <v>6</v>
      </c>
      <c r="C1099" s="3" t="str">
        <f>"曾敏"</f>
        <v>曾敏</v>
      </c>
      <c r="D1099" s="3" t="str">
        <f t="shared" si="17"/>
        <v>女</v>
      </c>
      <c r="E1099" s="3" t="str">
        <f>"1990-03-17"</f>
        <v>1990-03-17</v>
      </c>
    </row>
    <row r="1100" spans="1:5" s="4" customFormat="1" ht="18" customHeight="1">
      <c r="A1100" s="3" t="str">
        <f>"21342019073015203597040"</f>
        <v>21342019073015203597040</v>
      </c>
      <c r="B1100" s="3" t="s">
        <v>6</v>
      </c>
      <c r="C1100" s="3" t="str">
        <f>"王慧妹"</f>
        <v>王慧妹</v>
      </c>
      <c r="D1100" s="3" t="str">
        <f t="shared" si="17"/>
        <v>女</v>
      </c>
      <c r="E1100" s="3" t="str">
        <f>"1992-08-17"</f>
        <v>1992-08-17</v>
      </c>
    </row>
    <row r="1101" spans="1:5" s="4" customFormat="1" ht="18" customHeight="1">
      <c r="A1101" s="3" t="str">
        <f>"21342019073015261097042"</f>
        <v>21342019073015261097042</v>
      </c>
      <c r="B1101" s="3" t="s">
        <v>6</v>
      </c>
      <c r="C1101" s="3" t="str">
        <f>"薛秀了"</f>
        <v>薛秀了</v>
      </c>
      <c r="D1101" s="3" t="str">
        <f t="shared" si="17"/>
        <v>女</v>
      </c>
      <c r="E1101" s="3" t="str">
        <f>"1990-05-07"</f>
        <v>1990-05-07</v>
      </c>
    </row>
    <row r="1102" spans="1:5" s="4" customFormat="1" ht="18" customHeight="1">
      <c r="A1102" s="3" t="str">
        <f>"21342019073015355797046"</f>
        <v>21342019073015355797046</v>
      </c>
      <c r="B1102" s="3" t="s">
        <v>6</v>
      </c>
      <c r="C1102" s="3" t="str">
        <f>"苏艳婷"</f>
        <v>苏艳婷</v>
      </c>
      <c r="D1102" s="3" t="str">
        <f t="shared" si="17"/>
        <v>女</v>
      </c>
      <c r="E1102" s="3" t="str">
        <f>"1993-01-07"</f>
        <v>1993-01-07</v>
      </c>
    </row>
    <row r="1103" spans="1:5" s="4" customFormat="1" ht="18" customHeight="1">
      <c r="A1103" s="3" t="str">
        <f>"21342019073015425697051"</f>
        <v>21342019073015425697051</v>
      </c>
      <c r="B1103" s="3" t="s">
        <v>6</v>
      </c>
      <c r="C1103" s="3" t="str">
        <f>"李瑞莲"</f>
        <v>李瑞莲</v>
      </c>
      <c r="D1103" s="3" t="str">
        <f t="shared" si="17"/>
        <v>女</v>
      </c>
      <c r="E1103" s="3" t="str">
        <f>"1994-10-30"</f>
        <v>1994-10-30</v>
      </c>
    </row>
    <row r="1104" spans="1:5" s="4" customFormat="1" ht="18" customHeight="1">
      <c r="A1104" s="3" t="str">
        <f>"21342019073015543997062"</f>
        <v>21342019073015543997062</v>
      </c>
      <c r="B1104" s="3" t="s">
        <v>6</v>
      </c>
      <c r="C1104" s="3" t="str">
        <f>"郑良杏"</f>
        <v>郑良杏</v>
      </c>
      <c r="D1104" s="3" t="str">
        <f t="shared" si="17"/>
        <v>女</v>
      </c>
      <c r="E1104" s="3" t="str">
        <f>"1991-10-12"</f>
        <v>1991-10-12</v>
      </c>
    </row>
    <row r="1105" spans="1:5" s="4" customFormat="1" ht="18" customHeight="1">
      <c r="A1105" s="3" t="str">
        <f>"21342019073016054297066"</f>
        <v>21342019073016054297066</v>
      </c>
      <c r="B1105" s="3" t="s">
        <v>6</v>
      </c>
      <c r="C1105" s="3" t="str">
        <f>"王兰雪"</f>
        <v>王兰雪</v>
      </c>
      <c r="D1105" s="3" t="str">
        <f t="shared" si="17"/>
        <v>女</v>
      </c>
      <c r="E1105" s="3" t="str">
        <f>"1995-11-30"</f>
        <v>1995-11-30</v>
      </c>
    </row>
    <row r="1106" spans="1:5" s="4" customFormat="1" ht="18" customHeight="1">
      <c r="A1106" s="3" t="str">
        <f>"21342019073016110797068"</f>
        <v>21342019073016110797068</v>
      </c>
      <c r="B1106" s="3" t="s">
        <v>6</v>
      </c>
      <c r="C1106" s="3" t="str">
        <f>"吴金莲"</f>
        <v>吴金莲</v>
      </c>
      <c r="D1106" s="3" t="str">
        <f t="shared" si="17"/>
        <v>女</v>
      </c>
      <c r="E1106" s="3" t="str">
        <f>"1995-01-18"</f>
        <v>1995-01-18</v>
      </c>
    </row>
    <row r="1107" spans="1:5" s="4" customFormat="1" ht="18" customHeight="1">
      <c r="A1107" s="3" t="str">
        <f>"21342019073016160897071"</f>
        <v>21342019073016160897071</v>
      </c>
      <c r="B1107" s="3" t="s">
        <v>6</v>
      </c>
      <c r="C1107" s="3" t="str">
        <f>"符思敏"</f>
        <v>符思敏</v>
      </c>
      <c r="D1107" s="3" t="str">
        <f aca="true" t="shared" si="18" ref="D1107:D1170">"女"</f>
        <v>女</v>
      </c>
      <c r="E1107" s="3" t="str">
        <f>"1995-06-27"</f>
        <v>1995-06-27</v>
      </c>
    </row>
    <row r="1108" spans="1:5" s="4" customFormat="1" ht="18" customHeight="1">
      <c r="A1108" s="3" t="str">
        <f>"21342019073016241797072"</f>
        <v>21342019073016241797072</v>
      </c>
      <c r="B1108" s="3" t="s">
        <v>6</v>
      </c>
      <c r="C1108" s="3" t="str">
        <f>"符贝贝"</f>
        <v>符贝贝</v>
      </c>
      <c r="D1108" s="3" t="str">
        <f t="shared" si="18"/>
        <v>女</v>
      </c>
      <c r="E1108" s="3" t="str">
        <f>"1990-07-23"</f>
        <v>1990-07-23</v>
      </c>
    </row>
    <row r="1109" spans="1:5" s="4" customFormat="1" ht="18" customHeight="1">
      <c r="A1109" s="3" t="str">
        <f>"21342019073016304997073"</f>
        <v>21342019073016304997073</v>
      </c>
      <c r="B1109" s="3" t="s">
        <v>6</v>
      </c>
      <c r="C1109" s="3" t="str">
        <f>"陈礼敏"</f>
        <v>陈礼敏</v>
      </c>
      <c r="D1109" s="3" t="str">
        <f t="shared" si="18"/>
        <v>女</v>
      </c>
      <c r="E1109" s="3" t="str">
        <f>"1992-04-10"</f>
        <v>1992-04-10</v>
      </c>
    </row>
    <row r="1110" spans="1:5" s="4" customFormat="1" ht="18" customHeight="1">
      <c r="A1110" s="3" t="str">
        <f>"21342019073016314597075"</f>
        <v>21342019073016314597075</v>
      </c>
      <c r="B1110" s="3" t="s">
        <v>6</v>
      </c>
      <c r="C1110" s="3" t="str">
        <f>"何水银"</f>
        <v>何水银</v>
      </c>
      <c r="D1110" s="3" t="str">
        <f t="shared" si="18"/>
        <v>女</v>
      </c>
      <c r="E1110" s="3" t="str">
        <f>"1991-08-22"</f>
        <v>1991-08-22</v>
      </c>
    </row>
    <row r="1111" spans="1:5" s="4" customFormat="1" ht="18" customHeight="1">
      <c r="A1111" s="3" t="str">
        <f>"21342019073016361997078"</f>
        <v>21342019073016361997078</v>
      </c>
      <c r="B1111" s="3" t="s">
        <v>6</v>
      </c>
      <c r="C1111" s="3" t="str">
        <f>"周小英"</f>
        <v>周小英</v>
      </c>
      <c r="D1111" s="3" t="str">
        <f t="shared" si="18"/>
        <v>女</v>
      </c>
      <c r="E1111" s="3" t="str">
        <f>"1994-02-20"</f>
        <v>1994-02-20</v>
      </c>
    </row>
    <row r="1112" spans="1:5" s="4" customFormat="1" ht="18" customHeight="1">
      <c r="A1112" s="3" t="str">
        <f>"21342019073016462397086"</f>
        <v>21342019073016462397086</v>
      </c>
      <c r="B1112" s="3" t="s">
        <v>6</v>
      </c>
      <c r="C1112" s="3" t="str">
        <f>"叶小梅"</f>
        <v>叶小梅</v>
      </c>
      <c r="D1112" s="3" t="str">
        <f t="shared" si="18"/>
        <v>女</v>
      </c>
      <c r="E1112" s="3" t="str">
        <f>"1992-10-20"</f>
        <v>1992-10-20</v>
      </c>
    </row>
    <row r="1113" spans="1:5" s="4" customFormat="1" ht="18" customHeight="1">
      <c r="A1113" s="3" t="str">
        <f>"21342019073016565597090"</f>
        <v>21342019073016565597090</v>
      </c>
      <c r="B1113" s="3" t="s">
        <v>6</v>
      </c>
      <c r="C1113" s="3" t="str">
        <f>"林艳玲"</f>
        <v>林艳玲</v>
      </c>
      <c r="D1113" s="3" t="str">
        <f t="shared" si="18"/>
        <v>女</v>
      </c>
      <c r="E1113" s="3" t="str">
        <f>"1995-04-26"</f>
        <v>1995-04-26</v>
      </c>
    </row>
    <row r="1114" spans="1:5" s="4" customFormat="1" ht="18" customHeight="1">
      <c r="A1114" s="3" t="str">
        <f>"21342019073017005197093"</f>
        <v>21342019073017005197093</v>
      </c>
      <c r="B1114" s="3" t="s">
        <v>6</v>
      </c>
      <c r="C1114" s="3" t="str">
        <f>"钟专"</f>
        <v>钟专</v>
      </c>
      <c r="D1114" s="3" t="str">
        <f t="shared" si="18"/>
        <v>女</v>
      </c>
      <c r="E1114" s="3" t="str">
        <f>"1996-12-20"</f>
        <v>1996-12-20</v>
      </c>
    </row>
    <row r="1115" spans="1:5" s="4" customFormat="1" ht="18" customHeight="1">
      <c r="A1115" s="3" t="str">
        <f>"21342019073017030397094"</f>
        <v>21342019073017030397094</v>
      </c>
      <c r="B1115" s="3" t="s">
        <v>6</v>
      </c>
      <c r="C1115" s="3" t="str">
        <f>"符慧"</f>
        <v>符慧</v>
      </c>
      <c r="D1115" s="3" t="str">
        <f t="shared" si="18"/>
        <v>女</v>
      </c>
      <c r="E1115" s="3" t="str">
        <f>"1996-12-12"</f>
        <v>1996-12-12</v>
      </c>
    </row>
    <row r="1116" spans="1:5" s="4" customFormat="1" ht="18" customHeight="1">
      <c r="A1116" s="3" t="str">
        <f>"21342019073017073397095"</f>
        <v>21342019073017073397095</v>
      </c>
      <c r="B1116" s="3" t="s">
        <v>6</v>
      </c>
      <c r="C1116" s="3" t="str">
        <f>"黄冠丹"</f>
        <v>黄冠丹</v>
      </c>
      <c r="D1116" s="3" t="str">
        <f t="shared" si="18"/>
        <v>女</v>
      </c>
      <c r="E1116" s="3" t="str">
        <f>"1994-09-14"</f>
        <v>1994-09-14</v>
      </c>
    </row>
    <row r="1117" spans="1:5" s="4" customFormat="1" ht="18" customHeight="1">
      <c r="A1117" s="3" t="str">
        <f>"21342019073017083397096"</f>
        <v>21342019073017083397096</v>
      </c>
      <c r="B1117" s="3" t="s">
        <v>6</v>
      </c>
      <c r="C1117" s="3" t="str">
        <f>"王鸿慧"</f>
        <v>王鸿慧</v>
      </c>
      <c r="D1117" s="3" t="str">
        <f t="shared" si="18"/>
        <v>女</v>
      </c>
      <c r="E1117" s="3" t="str">
        <f>"1993-10-21"</f>
        <v>1993-10-21</v>
      </c>
    </row>
    <row r="1118" spans="1:5" s="4" customFormat="1" ht="18" customHeight="1">
      <c r="A1118" s="3" t="str">
        <f>"21342019073017124897098"</f>
        <v>21342019073017124897098</v>
      </c>
      <c r="B1118" s="3" t="s">
        <v>6</v>
      </c>
      <c r="C1118" s="3" t="str">
        <f>"朱春香"</f>
        <v>朱春香</v>
      </c>
      <c r="D1118" s="3" t="str">
        <f t="shared" si="18"/>
        <v>女</v>
      </c>
      <c r="E1118" s="3" t="str">
        <f>"1998-01-18"</f>
        <v>1998-01-18</v>
      </c>
    </row>
    <row r="1119" spans="1:5" s="4" customFormat="1" ht="18" customHeight="1">
      <c r="A1119" s="3" t="str">
        <f>"21342019073017152397099"</f>
        <v>21342019073017152397099</v>
      </c>
      <c r="B1119" s="3" t="s">
        <v>6</v>
      </c>
      <c r="C1119" s="3" t="str">
        <f>"符诗雅"</f>
        <v>符诗雅</v>
      </c>
      <c r="D1119" s="3" t="str">
        <f t="shared" si="18"/>
        <v>女</v>
      </c>
      <c r="E1119" s="3" t="str">
        <f>"1993-09-23"</f>
        <v>1993-09-23</v>
      </c>
    </row>
    <row r="1120" spans="1:5" s="4" customFormat="1" ht="18" customHeight="1">
      <c r="A1120" s="3" t="str">
        <f>"21342019073017162997100"</f>
        <v>21342019073017162997100</v>
      </c>
      <c r="B1120" s="3" t="s">
        <v>6</v>
      </c>
      <c r="C1120" s="3" t="str">
        <f>"王艺铮"</f>
        <v>王艺铮</v>
      </c>
      <c r="D1120" s="3" t="str">
        <f t="shared" si="18"/>
        <v>女</v>
      </c>
      <c r="E1120" s="3" t="str">
        <f>"1998-01-06"</f>
        <v>1998-01-06</v>
      </c>
    </row>
    <row r="1121" spans="1:5" s="4" customFormat="1" ht="18" customHeight="1">
      <c r="A1121" s="3" t="str">
        <f>"21342019073017184197101"</f>
        <v>21342019073017184197101</v>
      </c>
      <c r="B1121" s="3" t="s">
        <v>6</v>
      </c>
      <c r="C1121" s="3" t="str">
        <f>"王小芳"</f>
        <v>王小芳</v>
      </c>
      <c r="D1121" s="3" t="str">
        <f t="shared" si="18"/>
        <v>女</v>
      </c>
      <c r="E1121" s="3" t="str">
        <f>"1990-02-09"</f>
        <v>1990-02-09</v>
      </c>
    </row>
    <row r="1122" spans="1:5" s="4" customFormat="1" ht="18" customHeight="1">
      <c r="A1122" s="3" t="str">
        <f>"21342019073017194697103"</f>
        <v>21342019073017194697103</v>
      </c>
      <c r="B1122" s="3" t="s">
        <v>6</v>
      </c>
      <c r="C1122" s="3" t="str">
        <f>"符金燕"</f>
        <v>符金燕</v>
      </c>
      <c r="D1122" s="3" t="str">
        <f t="shared" si="18"/>
        <v>女</v>
      </c>
      <c r="E1122" s="3" t="str">
        <f>"1998-11-12"</f>
        <v>1998-11-12</v>
      </c>
    </row>
    <row r="1123" spans="1:5" s="4" customFormat="1" ht="18" customHeight="1">
      <c r="A1123" s="3" t="str">
        <f>"21342019073017240197109"</f>
        <v>21342019073017240197109</v>
      </c>
      <c r="B1123" s="3" t="s">
        <v>6</v>
      </c>
      <c r="C1123" s="3" t="str">
        <f>"张欣欣"</f>
        <v>张欣欣</v>
      </c>
      <c r="D1123" s="3" t="str">
        <f t="shared" si="18"/>
        <v>女</v>
      </c>
      <c r="E1123" s="3" t="str">
        <f>"1997-02-18"</f>
        <v>1997-02-18</v>
      </c>
    </row>
    <row r="1124" spans="1:5" s="4" customFormat="1" ht="18" customHeight="1">
      <c r="A1124" s="3" t="str">
        <f>"21342019073017435797115"</f>
        <v>21342019073017435797115</v>
      </c>
      <c r="B1124" s="3" t="s">
        <v>6</v>
      </c>
      <c r="C1124" s="3" t="str">
        <f>"周才英"</f>
        <v>周才英</v>
      </c>
      <c r="D1124" s="3" t="str">
        <f t="shared" si="18"/>
        <v>女</v>
      </c>
      <c r="E1124" s="3" t="str">
        <f>"1994-02-20"</f>
        <v>1994-02-20</v>
      </c>
    </row>
    <row r="1125" spans="1:5" s="4" customFormat="1" ht="18" customHeight="1">
      <c r="A1125" s="3" t="str">
        <f>"21342019073017455997118"</f>
        <v>21342019073017455997118</v>
      </c>
      <c r="B1125" s="3" t="s">
        <v>6</v>
      </c>
      <c r="C1125" s="3" t="str">
        <f>"许若希"</f>
        <v>许若希</v>
      </c>
      <c r="D1125" s="3" t="str">
        <f t="shared" si="18"/>
        <v>女</v>
      </c>
      <c r="E1125" s="3" t="str">
        <f>"1993-10-09"</f>
        <v>1993-10-09</v>
      </c>
    </row>
    <row r="1126" spans="1:5" s="4" customFormat="1" ht="18" customHeight="1">
      <c r="A1126" s="3" t="str">
        <f>"21342019073017504197121"</f>
        <v>21342019073017504197121</v>
      </c>
      <c r="B1126" s="3" t="s">
        <v>6</v>
      </c>
      <c r="C1126" s="3" t="str">
        <f>"张洁"</f>
        <v>张洁</v>
      </c>
      <c r="D1126" s="3" t="str">
        <f t="shared" si="18"/>
        <v>女</v>
      </c>
      <c r="E1126" s="3" t="str">
        <f>"1995-08-28"</f>
        <v>1995-08-28</v>
      </c>
    </row>
    <row r="1127" spans="1:5" s="4" customFormat="1" ht="18" customHeight="1">
      <c r="A1127" s="3" t="str">
        <f>"21342019073017515697122"</f>
        <v>21342019073017515697122</v>
      </c>
      <c r="B1127" s="3" t="s">
        <v>6</v>
      </c>
      <c r="C1127" s="3" t="str">
        <f>"洪文妃"</f>
        <v>洪文妃</v>
      </c>
      <c r="D1127" s="3" t="str">
        <f t="shared" si="18"/>
        <v>女</v>
      </c>
      <c r="E1127" s="3" t="str">
        <f>"1994-06-07"</f>
        <v>1994-06-07</v>
      </c>
    </row>
    <row r="1128" spans="1:5" s="4" customFormat="1" ht="18" customHeight="1">
      <c r="A1128" s="3" t="str">
        <f>"21342019073017541197125"</f>
        <v>21342019073017541197125</v>
      </c>
      <c r="B1128" s="3" t="s">
        <v>6</v>
      </c>
      <c r="C1128" s="3" t="str">
        <f>"何善熊"</f>
        <v>何善熊</v>
      </c>
      <c r="D1128" s="3" t="str">
        <f t="shared" si="18"/>
        <v>女</v>
      </c>
      <c r="E1128" s="3" t="str">
        <f>"1996-11-13"</f>
        <v>1996-11-13</v>
      </c>
    </row>
    <row r="1129" spans="1:5" s="4" customFormat="1" ht="18" customHeight="1">
      <c r="A1129" s="3" t="str">
        <f>"21342019073018351797138"</f>
        <v>21342019073018351797138</v>
      </c>
      <c r="B1129" s="3" t="s">
        <v>6</v>
      </c>
      <c r="C1129" s="3" t="str">
        <f>"李逸雅"</f>
        <v>李逸雅</v>
      </c>
      <c r="D1129" s="3" t="str">
        <f t="shared" si="18"/>
        <v>女</v>
      </c>
      <c r="E1129" s="3" t="str">
        <f>"1994-12-03"</f>
        <v>1994-12-03</v>
      </c>
    </row>
    <row r="1130" spans="1:5" s="4" customFormat="1" ht="18" customHeight="1">
      <c r="A1130" s="3" t="str">
        <f>"21342019073018394197140"</f>
        <v>21342019073018394197140</v>
      </c>
      <c r="B1130" s="3" t="s">
        <v>6</v>
      </c>
      <c r="C1130" s="3" t="str">
        <f>"王小妹"</f>
        <v>王小妹</v>
      </c>
      <c r="D1130" s="3" t="str">
        <f t="shared" si="18"/>
        <v>女</v>
      </c>
      <c r="E1130" s="3" t="str">
        <f>"1996-05-28"</f>
        <v>1996-05-28</v>
      </c>
    </row>
    <row r="1131" spans="1:5" s="4" customFormat="1" ht="18" customHeight="1">
      <c r="A1131" s="3" t="str">
        <f>"21342019073018434397141"</f>
        <v>21342019073018434397141</v>
      </c>
      <c r="B1131" s="3" t="s">
        <v>6</v>
      </c>
      <c r="C1131" s="3" t="str">
        <f>"许引弟"</f>
        <v>许引弟</v>
      </c>
      <c r="D1131" s="3" t="str">
        <f t="shared" si="18"/>
        <v>女</v>
      </c>
      <c r="E1131" s="3" t="str">
        <f>"1992-08-03"</f>
        <v>1992-08-03</v>
      </c>
    </row>
    <row r="1132" spans="1:5" s="4" customFormat="1" ht="18" customHeight="1">
      <c r="A1132" s="3" t="str">
        <f>"21342019073018463397143"</f>
        <v>21342019073018463397143</v>
      </c>
      <c r="B1132" s="3" t="s">
        <v>6</v>
      </c>
      <c r="C1132" s="3" t="str">
        <f>"黄小芳"</f>
        <v>黄小芳</v>
      </c>
      <c r="D1132" s="3" t="str">
        <f t="shared" si="18"/>
        <v>女</v>
      </c>
      <c r="E1132" s="3" t="str">
        <f>"1993-04-09"</f>
        <v>1993-04-09</v>
      </c>
    </row>
    <row r="1133" spans="1:5" s="4" customFormat="1" ht="18" customHeight="1">
      <c r="A1133" s="3" t="str">
        <f>"21342019073018535297148"</f>
        <v>21342019073018535297148</v>
      </c>
      <c r="B1133" s="3" t="s">
        <v>6</v>
      </c>
      <c r="C1133" s="3" t="str">
        <f>"吴小河"</f>
        <v>吴小河</v>
      </c>
      <c r="D1133" s="3" t="str">
        <f t="shared" si="18"/>
        <v>女</v>
      </c>
      <c r="E1133" s="3" t="str">
        <f>"1999-03-04"</f>
        <v>1999-03-04</v>
      </c>
    </row>
    <row r="1134" spans="1:5" s="4" customFormat="1" ht="18" customHeight="1">
      <c r="A1134" s="3" t="str">
        <f>"21342019073018561997149"</f>
        <v>21342019073018561997149</v>
      </c>
      <c r="B1134" s="3" t="s">
        <v>6</v>
      </c>
      <c r="C1134" s="3" t="str">
        <f>"蔡金燕"</f>
        <v>蔡金燕</v>
      </c>
      <c r="D1134" s="3" t="str">
        <f t="shared" si="18"/>
        <v>女</v>
      </c>
      <c r="E1134" s="3" t="str">
        <f>"1995-09-17"</f>
        <v>1995-09-17</v>
      </c>
    </row>
    <row r="1135" spans="1:5" s="4" customFormat="1" ht="18" customHeight="1">
      <c r="A1135" s="3" t="str">
        <f>"21342019073019023797151"</f>
        <v>21342019073019023797151</v>
      </c>
      <c r="B1135" s="3" t="s">
        <v>6</v>
      </c>
      <c r="C1135" s="3" t="str">
        <f>"陈秋芳"</f>
        <v>陈秋芳</v>
      </c>
      <c r="D1135" s="3" t="str">
        <f t="shared" si="18"/>
        <v>女</v>
      </c>
      <c r="E1135" s="3" t="str">
        <f>"1996-08-25"</f>
        <v>1996-08-25</v>
      </c>
    </row>
    <row r="1136" spans="1:5" s="4" customFormat="1" ht="18" customHeight="1">
      <c r="A1136" s="3" t="str">
        <f>"21342019073019040397152"</f>
        <v>21342019073019040397152</v>
      </c>
      <c r="B1136" s="3" t="s">
        <v>6</v>
      </c>
      <c r="C1136" s="3" t="str">
        <f>"陈婷婷"</f>
        <v>陈婷婷</v>
      </c>
      <c r="D1136" s="3" t="str">
        <f t="shared" si="18"/>
        <v>女</v>
      </c>
      <c r="E1136" s="3" t="str">
        <f>"1996-04-18"</f>
        <v>1996-04-18</v>
      </c>
    </row>
    <row r="1137" spans="1:5" s="4" customFormat="1" ht="18" customHeight="1">
      <c r="A1137" s="3" t="str">
        <f>"21342019073019164497157"</f>
        <v>21342019073019164497157</v>
      </c>
      <c r="B1137" s="3" t="s">
        <v>6</v>
      </c>
      <c r="C1137" s="3" t="str">
        <f>"钟圣婷"</f>
        <v>钟圣婷</v>
      </c>
      <c r="D1137" s="3" t="str">
        <f t="shared" si="18"/>
        <v>女</v>
      </c>
      <c r="E1137" s="3" t="str">
        <f>"1992-06-20"</f>
        <v>1992-06-20</v>
      </c>
    </row>
    <row r="1138" spans="1:5" s="4" customFormat="1" ht="18" customHeight="1">
      <c r="A1138" s="3" t="str">
        <f>"21342019073019165297158"</f>
        <v>21342019073019165297158</v>
      </c>
      <c r="B1138" s="3" t="s">
        <v>6</v>
      </c>
      <c r="C1138" s="3" t="str">
        <f>"黎祥银"</f>
        <v>黎祥银</v>
      </c>
      <c r="D1138" s="3" t="str">
        <f t="shared" si="18"/>
        <v>女</v>
      </c>
      <c r="E1138" s="3" t="str">
        <f>"1990-09-10"</f>
        <v>1990-09-10</v>
      </c>
    </row>
    <row r="1139" spans="1:5" s="4" customFormat="1" ht="18" customHeight="1">
      <c r="A1139" s="3" t="str">
        <f>"21342019073019201097159"</f>
        <v>21342019073019201097159</v>
      </c>
      <c r="B1139" s="3" t="s">
        <v>6</v>
      </c>
      <c r="C1139" s="3" t="str">
        <f>"李震彩"</f>
        <v>李震彩</v>
      </c>
      <c r="D1139" s="3" t="str">
        <f t="shared" si="18"/>
        <v>女</v>
      </c>
      <c r="E1139" s="3" t="str">
        <f>"1994-03-11"</f>
        <v>1994-03-11</v>
      </c>
    </row>
    <row r="1140" spans="1:5" s="4" customFormat="1" ht="18" customHeight="1">
      <c r="A1140" s="3" t="str">
        <f>"21342019073019273397162"</f>
        <v>21342019073019273397162</v>
      </c>
      <c r="B1140" s="3" t="s">
        <v>6</v>
      </c>
      <c r="C1140" s="3" t="str">
        <f>"何元桃"</f>
        <v>何元桃</v>
      </c>
      <c r="D1140" s="3" t="str">
        <f t="shared" si="18"/>
        <v>女</v>
      </c>
      <c r="E1140" s="3" t="str">
        <f>"1995-04-28"</f>
        <v>1995-04-28</v>
      </c>
    </row>
    <row r="1141" spans="1:5" s="4" customFormat="1" ht="18" customHeight="1">
      <c r="A1141" s="3" t="str">
        <f>"21342019073019451597168"</f>
        <v>21342019073019451597168</v>
      </c>
      <c r="B1141" s="3" t="s">
        <v>6</v>
      </c>
      <c r="C1141" s="3" t="str">
        <f>"符家研"</f>
        <v>符家研</v>
      </c>
      <c r="D1141" s="3" t="str">
        <f t="shared" si="18"/>
        <v>女</v>
      </c>
      <c r="E1141" s="3" t="str">
        <f>"1990-07-10"</f>
        <v>1990-07-10</v>
      </c>
    </row>
    <row r="1142" spans="1:5" s="4" customFormat="1" ht="18" customHeight="1">
      <c r="A1142" s="3" t="str">
        <f>"21342019073020163497177"</f>
        <v>21342019073020163497177</v>
      </c>
      <c r="B1142" s="3" t="s">
        <v>6</v>
      </c>
      <c r="C1142" s="3" t="str">
        <f>"林孟娣"</f>
        <v>林孟娣</v>
      </c>
      <c r="D1142" s="3" t="str">
        <f t="shared" si="18"/>
        <v>女</v>
      </c>
      <c r="E1142" s="3" t="str">
        <f>"1994-06-19"</f>
        <v>1994-06-19</v>
      </c>
    </row>
    <row r="1143" spans="1:5" s="4" customFormat="1" ht="18" customHeight="1">
      <c r="A1143" s="3" t="str">
        <f>"21342019073020191097180"</f>
        <v>21342019073020191097180</v>
      </c>
      <c r="B1143" s="3" t="s">
        <v>6</v>
      </c>
      <c r="C1143" s="3" t="str">
        <f>"王玉"</f>
        <v>王玉</v>
      </c>
      <c r="D1143" s="3" t="str">
        <f t="shared" si="18"/>
        <v>女</v>
      </c>
      <c r="E1143" s="3" t="str">
        <f>"1992-10-07"</f>
        <v>1992-10-07</v>
      </c>
    </row>
    <row r="1144" spans="1:5" s="4" customFormat="1" ht="18" customHeight="1">
      <c r="A1144" s="3" t="str">
        <f>"21342019073020195197181"</f>
        <v>21342019073020195197181</v>
      </c>
      <c r="B1144" s="3" t="s">
        <v>6</v>
      </c>
      <c r="C1144" s="3" t="str">
        <f>"王春琴"</f>
        <v>王春琴</v>
      </c>
      <c r="D1144" s="3" t="str">
        <f t="shared" si="18"/>
        <v>女</v>
      </c>
      <c r="E1144" s="3" t="str">
        <f>"1995-09-22"</f>
        <v>1995-09-22</v>
      </c>
    </row>
    <row r="1145" spans="1:5" s="4" customFormat="1" ht="18" customHeight="1">
      <c r="A1145" s="3" t="str">
        <f>"21342019073020215297182"</f>
        <v>21342019073020215297182</v>
      </c>
      <c r="B1145" s="3" t="s">
        <v>6</v>
      </c>
      <c r="C1145" s="3" t="str">
        <f>"林慧玲"</f>
        <v>林慧玲</v>
      </c>
      <c r="D1145" s="3" t="str">
        <f t="shared" si="18"/>
        <v>女</v>
      </c>
      <c r="E1145" s="3" t="str">
        <f>"1993-01-18"</f>
        <v>1993-01-18</v>
      </c>
    </row>
    <row r="1146" spans="1:5" s="4" customFormat="1" ht="18" customHeight="1">
      <c r="A1146" s="3" t="str">
        <f>"21342019073020244997183"</f>
        <v>21342019073020244997183</v>
      </c>
      <c r="B1146" s="3" t="s">
        <v>6</v>
      </c>
      <c r="C1146" s="3" t="str">
        <f>"孙云娜"</f>
        <v>孙云娜</v>
      </c>
      <c r="D1146" s="3" t="str">
        <f t="shared" si="18"/>
        <v>女</v>
      </c>
      <c r="E1146" s="3" t="str">
        <f>"1993-06-03"</f>
        <v>1993-06-03</v>
      </c>
    </row>
    <row r="1147" spans="1:5" s="4" customFormat="1" ht="18" customHeight="1">
      <c r="A1147" s="3" t="str">
        <f>"21342019073020270997186"</f>
        <v>21342019073020270997186</v>
      </c>
      <c r="B1147" s="3" t="s">
        <v>6</v>
      </c>
      <c r="C1147" s="3" t="str">
        <f>"傅秋燕"</f>
        <v>傅秋燕</v>
      </c>
      <c r="D1147" s="3" t="str">
        <f t="shared" si="18"/>
        <v>女</v>
      </c>
      <c r="E1147" s="3" t="str">
        <f>"1989-11-15"</f>
        <v>1989-11-15</v>
      </c>
    </row>
    <row r="1148" spans="1:5" s="4" customFormat="1" ht="18" customHeight="1">
      <c r="A1148" s="3" t="str">
        <f>"21342019073020300397187"</f>
        <v>21342019073020300397187</v>
      </c>
      <c r="B1148" s="3" t="s">
        <v>6</v>
      </c>
      <c r="C1148" s="3" t="str">
        <f>"许慧思"</f>
        <v>许慧思</v>
      </c>
      <c r="D1148" s="3" t="str">
        <f t="shared" si="18"/>
        <v>女</v>
      </c>
      <c r="E1148" s="3" t="str">
        <f>"1994-04-23"</f>
        <v>1994-04-23</v>
      </c>
    </row>
    <row r="1149" spans="1:5" s="4" customFormat="1" ht="18" customHeight="1">
      <c r="A1149" s="3" t="str">
        <f>"21342019073020382697192"</f>
        <v>21342019073020382697192</v>
      </c>
      <c r="B1149" s="3" t="s">
        <v>6</v>
      </c>
      <c r="C1149" s="3" t="str">
        <f>"王金花"</f>
        <v>王金花</v>
      </c>
      <c r="D1149" s="3" t="str">
        <f t="shared" si="18"/>
        <v>女</v>
      </c>
      <c r="E1149" s="3" t="str">
        <f>"1998-10-11"</f>
        <v>1998-10-11</v>
      </c>
    </row>
    <row r="1150" spans="1:5" s="4" customFormat="1" ht="18" customHeight="1">
      <c r="A1150" s="3" t="str">
        <f>"21342019073020391897194"</f>
        <v>21342019073020391897194</v>
      </c>
      <c r="B1150" s="3" t="s">
        <v>6</v>
      </c>
      <c r="C1150" s="3" t="str">
        <f>"王艳"</f>
        <v>王艳</v>
      </c>
      <c r="D1150" s="3" t="str">
        <f t="shared" si="18"/>
        <v>女</v>
      </c>
      <c r="E1150" s="3" t="str">
        <f>"1995-02-05"</f>
        <v>1995-02-05</v>
      </c>
    </row>
    <row r="1151" spans="1:5" s="4" customFormat="1" ht="18" customHeight="1">
      <c r="A1151" s="3" t="str">
        <f>"21342019073020520897195"</f>
        <v>21342019073020520897195</v>
      </c>
      <c r="B1151" s="3" t="s">
        <v>6</v>
      </c>
      <c r="C1151" s="3" t="str">
        <f>"范美施"</f>
        <v>范美施</v>
      </c>
      <c r="D1151" s="3" t="str">
        <f t="shared" si="18"/>
        <v>女</v>
      </c>
      <c r="E1151" s="3" t="str">
        <f>"1991-07-24"</f>
        <v>1991-07-24</v>
      </c>
    </row>
    <row r="1152" spans="1:5" s="4" customFormat="1" ht="18" customHeight="1">
      <c r="A1152" s="3" t="str">
        <f>"21342019073021050097204"</f>
        <v>21342019073021050097204</v>
      </c>
      <c r="B1152" s="3" t="s">
        <v>6</v>
      </c>
      <c r="C1152" s="3" t="str">
        <f>"许万丽"</f>
        <v>许万丽</v>
      </c>
      <c r="D1152" s="3" t="str">
        <f t="shared" si="18"/>
        <v>女</v>
      </c>
      <c r="E1152" s="3" t="str">
        <f>"1995-02-02"</f>
        <v>1995-02-02</v>
      </c>
    </row>
    <row r="1153" spans="1:5" s="4" customFormat="1" ht="18" customHeight="1">
      <c r="A1153" s="3" t="str">
        <f>"21342019073021081697206"</f>
        <v>21342019073021081697206</v>
      </c>
      <c r="B1153" s="3" t="s">
        <v>6</v>
      </c>
      <c r="C1153" s="3" t="str">
        <f>"王能佳"</f>
        <v>王能佳</v>
      </c>
      <c r="D1153" s="3" t="str">
        <f t="shared" si="18"/>
        <v>女</v>
      </c>
      <c r="E1153" s="3" t="str">
        <f>"1997-10-06"</f>
        <v>1997-10-06</v>
      </c>
    </row>
    <row r="1154" spans="1:5" s="4" customFormat="1" ht="18" customHeight="1">
      <c r="A1154" s="3" t="str">
        <f>"21342019073021125297210"</f>
        <v>21342019073021125297210</v>
      </c>
      <c r="B1154" s="3" t="s">
        <v>6</v>
      </c>
      <c r="C1154" s="3" t="str">
        <f>"王莹"</f>
        <v>王莹</v>
      </c>
      <c r="D1154" s="3" t="str">
        <f t="shared" si="18"/>
        <v>女</v>
      </c>
      <c r="E1154" s="3" t="str">
        <f>"1989-11-29"</f>
        <v>1989-11-29</v>
      </c>
    </row>
    <row r="1155" spans="1:5" s="4" customFormat="1" ht="18" customHeight="1">
      <c r="A1155" s="3" t="str">
        <f>"21342019073021130897212"</f>
        <v>21342019073021130897212</v>
      </c>
      <c r="B1155" s="3" t="s">
        <v>6</v>
      </c>
      <c r="C1155" s="3" t="str">
        <f>"刘浈苡"</f>
        <v>刘浈苡</v>
      </c>
      <c r="D1155" s="3" t="str">
        <f t="shared" si="18"/>
        <v>女</v>
      </c>
      <c r="E1155" s="3" t="str">
        <f>"1995-09-09"</f>
        <v>1995-09-09</v>
      </c>
    </row>
    <row r="1156" spans="1:5" s="4" customFormat="1" ht="18" customHeight="1">
      <c r="A1156" s="3" t="str">
        <f>"21342019073021155097213"</f>
        <v>21342019073021155097213</v>
      </c>
      <c r="B1156" s="3" t="s">
        <v>6</v>
      </c>
      <c r="C1156" s="3" t="str">
        <f>"林燕青"</f>
        <v>林燕青</v>
      </c>
      <c r="D1156" s="3" t="str">
        <f t="shared" si="18"/>
        <v>女</v>
      </c>
      <c r="E1156" s="3" t="str">
        <f>"1997-10-06"</f>
        <v>1997-10-06</v>
      </c>
    </row>
    <row r="1157" spans="1:5" s="4" customFormat="1" ht="18" customHeight="1">
      <c r="A1157" s="3" t="str">
        <f>"21342019073021242997218"</f>
        <v>21342019073021242997218</v>
      </c>
      <c r="B1157" s="3" t="s">
        <v>6</v>
      </c>
      <c r="C1157" s="3" t="str">
        <f>"吴丽丽"</f>
        <v>吴丽丽</v>
      </c>
      <c r="D1157" s="3" t="str">
        <f t="shared" si="18"/>
        <v>女</v>
      </c>
      <c r="E1157" s="3" t="str">
        <f>"1995-04-13"</f>
        <v>1995-04-13</v>
      </c>
    </row>
    <row r="1158" spans="1:5" s="4" customFormat="1" ht="18" customHeight="1">
      <c r="A1158" s="3" t="str">
        <f>"21342019073021363097228"</f>
        <v>21342019073021363097228</v>
      </c>
      <c r="B1158" s="3" t="s">
        <v>6</v>
      </c>
      <c r="C1158" s="3" t="str">
        <f>"陈思雨"</f>
        <v>陈思雨</v>
      </c>
      <c r="D1158" s="3" t="str">
        <f t="shared" si="18"/>
        <v>女</v>
      </c>
      <c r="E1158" s="3" t="str">
        <f>"1995-07-17"</f>
        <v>1995-07-17</v>
      </c>
    </row>
    <row r="1159" spans="1:5" s="4" customFormat="1" ht="18" customHeight="1">
      <c r="A1159" s="3" t="str">
        <f>"21342019073021445897235"</f>
        <v>21342019073021445897235</v>
      </c>
      <c r="B1159" s="3" t="s">
        <v>6</v>
      </c>
      <c r="C1159" s="3" t="str">
        <f>"赵娟"</f>
        <v>赵娟</v>
      </c>
      <c r="D1159" s="3" t="str">
        <f t="shared" si="18"/>
        <v>女</v>
      </c>
      <c r="E1159" s="3" t="str">
        <f>"1990-12-04"</f>
        <v>1990-12-04</v>
      </c>
    </row>
    <row r="1160" spans="1:5" s="4" customFormat="1" ht="18" customHeight="1">
      <c r="A1160" s="3" t="str">
        <f>"21342019073021473597236"</f>
        <v>21342019073021473597236</v>
      </c>
      <c r="B1160" s="3" t="s">
        <v>6</v>
      </c>
      <c r="C1160" s="3" t="str">
        <f>"黄荣仙"</f>
        <v>黄荣仙</v>
      </c>
      <c r="D1160" s="3" t="str">
        <f t="shared" si="18"/>
        <v>女</v>
      </c>
      <c r="E1160" s="3" t="str">
        <f>"1993-12-25"</f>
        <v>1993-12-25</v>
      </c>
    </row>
    <row r="1161" spans="1:5" s="4" customFormat="1" ht="18" customHeight="1">
      <c r="A1161" s="3" t="str">
        <f>"21342019073021484897238"</f>
        <v>21342019073021484897238</v>
      </c>
      <c r="B1161" s="3" t="s">
        <v>6</v>
      </c>
      <c r="C1161" s="3" t="str">
        <f>"程季云"</f>
        <v>程季云</v>
      </c>
      <c r="D1161" s="3" t="str">
        <f t="shared" si="18"/>
        <v>女</v>
      </c>
      <c r="E1161" s="3" t="str">
        <f>"1990-03-02"</f>
        <v>1990-03-02</v>
      </c>
    </row>
    <row r="1162" spans="1:5" s="4" customFormat="1" ht="18" customHeight="1">
      <c r="A1162" s="3" t="str">
        <f>"21342019073021493497239"</f>
        <v>21342019073021493497239</v>
      </c>
      <c r="B1162" s="3" t="s">
        <v>6</v>
      </c>
      <c r="C1162" s="3" t="str">
        <f>"苏其娜"</f>
        <v>苏其娜</v>
      </c>
      <c r="D1162" s="3" t="str">
        <f t="shared" si="18"/>
        <v>女</v>
      </c>
      <c r="E1162" s="3" t="str">
        <f>"1993-06-17"</f>
        <v>1993-06-17</v>
      </c>
    </row>
    <row r="1163" spans="1:5" s="4" customFormat="1" ht="18" customHeight="1">
      <c r="A1163" s="3" t="str">
        <f>"21342019073021522397242"</f>
        <v>21342019073021522397242</v>
      </c>
      <c r="B1163" s="3" t="s">
        <v>6</v>
      </c>
      <c r="C1163" s="3" t="str">
        <f>"孙淑美"</f>
        <v>孙淑美</v>
      </c>
      <c r="D1163" s="3" t="str">
        <f t="shared" si="18"/>
        <v>女</v>
      </c>
      <c r="E1163" s="3" t="str">
        <f>"1992-11-08"</f>
        <v>1992-11-08</v>
      </c>
    </row>
    <row r="1164" spans="1:5" s="4" customFormat="1" ht="18" customHeight="1">
      <c r="A1164" s="3" t="str">
        <f>"21342019073021561097244"</f>
        <v>21342019073021561097244</v>
      </c>
      <c r="B1164" s="3" t="s">
        <v>6</v>
      </c>
      <c r="C1164" s="3" t="str">
        <f>"林秀妍"</f>
        <v>林秀妍</v>
      </c>
      <c r="D1164" s="3" t="str">
        <f t="shared" si="18"/>
        <v>女</v>
      </c>
      <c r="E1164" s="3" t="str">
        <f>"1992-06-08"</f>
        <v>1992-06-08</v>
      </c>
    </row>
    <row r="1165" spans="1:5" s="4" customFormat="1" ht="18" customHeight="1">
      <c r="A1165" s="3" t="str">
        <f>"21342019073021592397248"</f>
        <v>21342019073021592397248</v>
      </c>
      <c r="B1165" s="3" t="s">
        <v>6</v>
      </c>
      <c r="C1165" s="3" t="str">
        <f>"王基霞"</f>
        <v>王基霞</v>
      </c>
      <c r="D1165" s="3" t="str">
        <f t="shared" si="18"/>
        <v>女</v>
      </c>
      <c r="E1165" s="3" t="str">
        <f>"1989-12-30"</f>
        <v>1989-12-30</v>
      </c>
    </row>
    <row r="1166" spans="1:5" s="4" customFormat="1" ht="18" customHeight="1">
      <c r="A1166" s="3" t="str">
        <f>"21342019073022024597251"</f>
        <v>21342019073022024597251</v>
      </c>
      <c r="B1166" s="3" t="s">
        <v>6</v>
      </c>
      <c r="C1166" s="3" t="str">
        <f>"李吉文"</f>
        <v>李吉文</v>
      </c>
      <c r="D1166" s="3" t="str">
        <f t="shared" si="18"/>
        <v>女</v>
      </c>
      <c r="E1166" s="3" t="str">
        <f>"1992-06-08"</f>
        <v>1992-06-08</v>
      </c>
    </row>
    <row r="1167" spans="1:5" s="4" customFormat="1" ht="18" customHeight="1">
      <c r="A1167" s="3" t="str">
        <f>"21342019073022324897269"</f>
        <v>21342019073022324897269</v>
      </c>
      <c r="B1167" s="3" t="s">
        <v>6</v>
      </c>
      <c r="C1167" s="3" t="str">
        <f>"朱丽凤"</f>
        <v>朱丽凤</v>
      </c>
      <c r="D1167" s="3" t="str">
        <f t="shared" si="18"/>
        <v>女</v>
      </c>
      <c r="E1167" s="3" t="str">
        <f>"1994-12-28"</f>
        <v>1994-12-28</v>
      </c>
    </row>
    <row r="1168" spans="1:5" s="4" customFormat="1" ht="18" customHeight="1">
      <c r="A1168" s="3" t="str">
        <f>"21342019073022494997276"</f>
        <v>21342019073022494997276</v>
      </c>
      <c r="B1168" s="3" t="s">
        <v>6</v>
      </c>
      <c r="C1168" s="3" t="str">
        <f>"钟茂玲"</f>
        <v>钟茂玲</v>
      </c>
      <c r="D1168" s="3" t="str">
        <f t="shared" si="18"/>
        <v>女</v>
      </c>
      <c r="E1168" s="3" t="str">
        <f>"1996-09-27"</f>
        <v>1996-09-27</v>
      </c>
    </row>
    <row r="1169" spans="1:5" s="4" customFormat="1" ht="18" customHeight="1">
      <c r="A1169" s="3" t="str">
        <f>"21342019073022505497277"</f>
        <v>21342019073022505497277</v>
      </c>
      <c r="B1169" s="3" t="s">
        <v>6</v>
      </c>
      <c r="C1169" s="3" t="str">
        <f>"杨和妍"</f>
        <v>杨和妍</v>
      </c>
      <c r="D1169" s="3" t="str">
        <f t="shared" si="18"/>
        <v>女</v>
      </c>
      <c r="E1169" s="3" t="str">
        <f>"1992-11-07"</f>
        <v>1992-11-07</v>
      </c>
    </row>
    <row r="1170" spans="1:5" s="4" customFormat="1" ht="18" customHeight="1">
      <c r="A1170" s="3" t="str">
        <f>"21342019073022553097280"</f>
        <v>21342019073022553097280</v>
      </c>
      <c r="B1170" s="3" t="s">
        <v>6</v>
      </c>
      <c r="C1170" s="3" t="str">
        <f>"符小娟"</f>
        <v>符小娟</v>
      </c>
      <c r="D1170" s="3" t="str">
        <f t="shared" si="18"/>
        <v>女</v>
      </c>
      <c r="E1170" s="3" t="str">
        <f>"1991-11-07"</f>
        <v>1991-11-07</v>
      </c>
    </row>
    <row r="1171" spans="1:5" s="4" customFormat="1" ht="18" customHeight="1">
      <c r="A1171" s="3" t="str">
        <f>"21342019073023244897293"</f>
        <v>21342019073023244897293</v>
      </c>
      <c r="B1171" s="3" t="s">
        <v>6</v>
      </c>
      <c r="C1171" s="3" t="str">
        <f>"李梅青"</f>
        <v>李梅青</v>
      </c>
      <c r="D1171" s="3" t="str">
        <f aca="true" t="shared" si="19" ref="D1171:D1234">"女"</f>
        <v>女</v>
      </c>
      <c r="E1171" s="3" t="str">
        <f>"1995-09-26"</f>
        <v>1995-09-26</v>
      </c>
    </row>
    <row r="1172" spans="1:5" s="4" customFormat="1" ht="18" customHeight="1">
      <c r="A1172" s="3" t="str">
        <f>"21342019073023365497299"</f>
        <v>21342019073023365497299</v>
      </c>
      <c r="B1172" s="3" t="s">
        <v>6</v>
      </c>
      <c r="C1172" s="3" t="str">
        <f>"王海晶"</f>
        <v>王海晶</v>
      </c>
      <c r="D1172" s="3" t="str">
        <f t="shared" si="19"/>
        <v>女</v>
      </c>
      <c r="E1172" s="3" t="str">
        <f>"1993-04-25"</f>
        <v>1993-04-25</v>
      </c>
    </row>
    <row r="1173" spans="1:5" s="4" customFormat="1" ht="18" customHeight="1">
      <c r="A1173" s="3" t="str">
        <f>"21342019073023384197300"</f>
        <v>21342019073023384197300</v>
      </c>
      <c r="B1173" s="3" t="s">
        <v>6</v>
      </c>
      <c r="C1173" s="3" t="str">
        <f>"王秀芬"</f>
        <v>王秀芬</v>
      </c>
      <c r="D1173" s="3" t="str">
        <f t="shared" si="19"/>
        <v>女</v>
      </c>
      <c r="E1173" s="3" t="str">
        <f>"1995-08-17"</f>
        <v>1995-08-17</v>
      </c>
    </row>
    <row r="1174" spans="1:5" s="4" customFormat="1" ht="18" customHeight="1">
      <c r="A1174" s="3" t="str">
        <f>"21342019073023423097301"</f>
        <v>21342019073023423097301</v>
      </c>
      <c r="B1174" s="3" t="s">
        <v>6</v>
      </c>
      <c r="C1174" s="3" t="str">
        <f>"王德红"</f>
        <v>王德红</v>
      </c>
      <c r="D1174" s="3" t="str">
        <f t="shared" si="19"/>
        <v>女</v>
      </c>
      <c r="E1174" s="3" t="str">
        <f>"1994-07-26"</f>
        <v>1994-07-26</v>
      </c>
    </row>
    <row r="1175" spans="1:5" s="4" customFormat="1" ht="18" customHeight="1">
      <c r="A1175" s="3" t="str">
        <f>"21342019073023590697308"</f>
        <v>21342019073023590697308</v>
      </c>
      <c r="B1175" s="3" t="s">
        <v>6</v>
      </c>
      <c r="C1175" s="3" t="str">
        <f>"王凯玲"</f>
        <v>王凯玲</v>
      </c>
      <c r="D1175" s="3" t="str">
        <f t="shared" si="19"/>
        <v>女</v>
      </c>
      <c r="E1175" s="3" t="str">
        <f>"1989-09-05"</f>
        <v>1989-09-05</v>
      </c>
    </row>
    <row r="1176" spans="1:5" s="4" customFormat="1" ht="18" customHeight="1">
      <c r="A1176" s="3" t="str">
        <f>"21342019073100192597310"</f>
        <v>21342019073100192597310</v>
      </c>
      <c r="B1176" s="3" t="s">
        <v>6</v>
      </c>
      <c r="C1176" s="3" t="str">
        <f>"王燕媚"</f>
        <v>王燕媚</v>
      </c>
      <c r="D1176" s="3" t="str">
        <f t="shared" si="19"/>
        <v>女</v>
      </c>
      <c r="E1176" s="3" t="str">
        <f>"1996-10-02"</f>
        <v>1996-10-02</v>
      </c>
    </row>
    <row r="1177" spans="1:5" s="4" customFormat="1" ht="18" customHeight="1">
      <c r="A1177" s="3" t="str">
        <f>"21342019073102465897315"</f>
        <v>21342019073102465897315</v>
      </c>
      <c r="B1177" s="3" t="s">
        <v>6</v>
      </c>
      <c r="C1177" s="3" t="str">
        <f>"陈东玲"</f>
        <v>陈东玲</v>
      </c>
      <c r="D1177" s="3" t="str">
        <f t="shared" si="19"/>
        <v>女</v>
      </c>
      <c r="E1177" s="3" t="str">
        <f>"1993-05-20"</f>
        <v>1993-05-20</v>
      </c>
    </row>
    <row r="1178" spans="1:5" s="4" customFormat="1" ht="18" customHeight="1">
      <c r="A1178" s="3" t="str">
        <f>"21342019073107552497323"</f>
        <v>21342019073107552497323</v>
      </c>
      <c r="B1178" s="3" t="s">
        <v>6</v>
      </c>
      <c r="C1178" s="3" t="str">
        <f>"曾小曼"</f>
        <v>曾小曼</v>
      </c>
      <c r="D1178" s="3" t="str">
        <f t="shared" si="19"/>
        <v>女</v>
      </c>
      <c r="E1178" s="3" t="str">
        <f>"1990-08-18"</f>
        <v>1990-08-18</v>
      </c>
    </row>
    <row r="1179" spans="1:5" s="4" customFormat="1" ht="18" customHeight="1">
      <c r="A1179" s="3" t="str">
        <f>"21342019073108021197325"</f>
        <v>21342019073108021197325</v>
      </c>
      <c r="B1179" s="3" t="s">
        <v>6</v>
      </c>
      <c r="C1179" s="3" t="str">
        <f>"许丽芬"</f>
        <v>许丽芬</v>
      </c>
      <c r="D1179" s="3" t="str">
        <f t="shared" si="19"/>
        <v>女</v>
      </c>
      <c r="E1179" s="3" t="str">
        <f>"1993-04-17"</f>
        <v>1993-04-17</v>
      </c>
    </row>
    <row r="1180" spans="1:5" s="4" customFormat="1" ht="18" customHeight="1">
      <c r="A1180" s="3" t="str">
        <f>"21342019073109052197374"</f>
        <v>21342019073109052197374</v>
      </c>
      <c r="B1180" s="3" t="s">
        <v>6</v>
      </c>
      <c r="C1180" s="3" t="str">
        <f>"谢蓉"</f>
        <v>谢蓉</v>
      </c>
      <c r="D1180" s="3" t="str">
        <f t="shared" si="19"/>
        <v>女</v>
      </c>
      <c r="E1180" s="3" t="str">
        <f>"1996-11-26"</f>
        <v>1996-11-26</v>
      </c>
    </row>
    <row r="1181" spans="1:5" s="4" customFormat="1" ht="18" customHeight="1">
      <c r="A1181" s="3" t="str">
        <f>"21342019073109091297398"</f>
        <v>21342019073109091297398</v>
      </c>
      <c r="B1181" s="3" t="s">
        <v>6</v>
      </c>
      <c r="C1181" s="3" t="str">
        <f>"王海兰"</f>
        <v>王海兰</v>
      </c>
      <c r="D1181" s="3" t="str">
        <f t="shared" si="19"/>
        <v>女</v>
      </c>
      <c r="E1181" s="3" t="str">
        <f>"1992-05-18"</f>
        <v>1992-05-18</v>
      </c>
    </row>
    <row r="1182" spans="1:5" s="4" customFormat="1" ht="18" customHeight="1">
      <c r="A1182" s="3" t="str">
        <f>"21342019073109092797400"</f>
        <v>21342019073109092797400</v>
      </c>
      <c r="B1182" s="3" t="s">
        <v>6</v>
      </c>
      <c r="C1182" s="3" t="str">
        <f>"符娟"</f>
        <v>符娟</v>
      </c>
      <c r="D1182" s="3" t="str">
        <f t="shared" si="19"/>
        <v>女</v>
      </c>
      <c r="E1182" s="3" t="str">
        <f>"1995-10-07"</f>
        <v>1995-10-07</v>
      </c>
    </row>
    <row r="1183" spans="1:5" s="4" customFormat="1" ht="18" customHeight="1">
      <c r="A1183" s="3" t="str">
        <f>"21342019073109093397401"</f>
        <v>21342019073109093397401</v>
      </c>
      <c r="B1183" s="3" t="s">
        <v>6</v>
      </c>
      <c r="C1183" s="3" t="str">
        <f>"刘美香"</f>
        <v>刘美香</v>
      </c>
      <c r="D1183" s="3" t="str">
        <f t="shared" si="19"/>
        <v>女</v>
      </c>
      <c r="E1183" s="3" t="str">
        <f>"1993-08-06"</f>
        <v>1993-08-06</v>
      </c>
    </row>
    <row r="1184" spans="1:5" s="4" customFormat="1" ht="18" customHeight="1">
      <c r="A1184" s="3" t="str">
        <f>"21342019073109223797468"</f>
        <v>21342019073109223797468</v>
      </c>
      <c r="B1184" s="3" t="s">
        <v>6</v>
      </c>
      <c r="C1184" s="3" t="str">
        <f>"冯朝荟"</f>
        <v>冯朝荟</v>
      </c>
      <c r="D1184" s="3" t="str">
        <f t="shared" si="19"/>
        <v>女</v>
      </c>
      <c r="E1184" s="3" t="str">
        <f>"1994-12-16"</f>
        <v>1994-12-16</v>
      </c>
    </row>
    <row r="1185" spans="1:5" s="4" customFormat="1" ht="18" customHeight="1">
      <c r="A1185" s="3" t="str">
        <f>"21342019073109425397531"</f>
        <v>21342019073109425397531</v>
      </c>
      <c r="B1185" s="3" t="s">
        <v>6</v>
      </c>
      <c r="C1185" s="3" t="str">
        <f>"麦孟娟"</f>
        <v>麦孟娟</v>
      </c>
      <c r="D1185" s="3" t="str">
        <f t="shared" si="19"/>
        <v>女</v>
      </c>
      <c r="E1185" s="3" t="str">
        <f>"1996-02-22"</f>
        <v>1996-02-22</v>
      </c>
    </row>
    <row r="1186" spans="1:5" s="4" customFormat="1" ht="18" customHeight="1">
      <c r="A1186" s="3" t="str">
        <f>"21342019073110054297605"</f>
        <v>21342019073110054297605</v>
      </c>
      <c r="B1186" s="3" t="s">
        <v>6</v>
      </c>
      <c r="C1186" s="3" t="str">
        <f>"林君"</f>
        <v>林君</v>
      </c>
      <c r="D1186" s="3" t="str">
        <f t="shared" si="19"/>
        <v>女</v>
      </c>
      <c r="E1186" s="3" t="str">
        <f>"1992-08-21"</f>
        <v>1992-08-21</v>
      </c>
    </row>
    <row r="1187" spans="1:5" s="4" customFormat="1" ht="18" customHeight="1">
      <c r="A1187" s="3" t="str">
        <f>"21342019073110102797618"</f>
        <v>21342019073110102797618</v>
      </c>
      <c r="B1187" s="3" t="s">
        <v>6</v>
      </c>
      <c r="C1187" s="3" t="str">
        <f>"许玉丽"</f>
        <v>许玉丽</v>
      </c>
      <c r="D1187" s="3" t="str">
        <f t="shared" si="19"/>
        <v>女</v>
      </c>
      <c r="E1187" s="3" t="str">
        <f>"1993-07-25"</f>
        <v>1993-07-25</v>
      </c>
    </row>
    <row r="1188" spans="1:5" s="4" customFormat="1" ht="18" customHeight="1">
      <c r="A1188" s="3" t="str">
        <f>"21342019073110155097628"</f>
        <v>21342019073110155097628</v>
      </c>
      <c r="B1188" s="3" t="s">
        <v>6</v>
      </c>
      <c r="C1188" s="3" t="str">
        <f>"符梅琦"</f>
        <v>符梅琦</v>
      </c>
      <c r="D1188" s="3" t="str">
        <f t="shared" si="19"/>
        <v>女</v>
      </c>
      <c r="E1188" s="3" t="str">
        <f>"1992-09-18"</f>
        <v>1992-09-18</v>
      </c>
    </row>
    <row r="1189" spans="1:5" s="4" customFormat="1" ht="18" customHeight="1">
      <c r="A1189" s="3" t="str">
        <f>"21342019073110202597637"</f>
        <v>21342019073110202597637</v>
      </c>
      <c r="B1189" s="3" t="s">
        <v>6</v>
      </c>
      <c r="C1189" s="3" t="str">
        <f>"王永河"</f>
        <v>王永河</v>
      </c>
      <c r="D1189" s="3" t="str">
        <f t="shared" si="19"/>
        <v>女</v>
      </c>
      <c r="E1189" s="3" t="str">
        <f>"1991-06-14"</f>
        <v>1991-06-14</v>
      </c>
    </row>
    <row r="1190" spans="1:5" s="4" customFormat="1" ht="18" customHeight="1">
      <c r="A1190" s="3" t="str">
        <f>"21342019073110204897638"</f>
        <v>21342019073110204897638</v>
      </c>
      <c r="B1190" s="3" t="s">
        <v>6</v>
      </c>
      <c r="C1190" s="3" t="str">
        <f>"叶慧"</f>
        <v>叶慧</v>
      </c>
      <c r="D1190" s="3" t="str">
        <f t="shared" si="19"/>
        <v>女</v>
      </c>
      <c r="E1190" s="3" t="str">
        <f>"1997-03-18"</f>
        <v>1997-03-18</v>
      </c>
    </row>
    <row r="1191" spans="1:5" s="4" customFormat="1" ht="18" customHeight="1">
      <c r="A1191" s="3" t="str">
        <f>"21342019073110280597664"</f>
        <v>21342019073110280597664</v>
      </c>
      <c r="B1191" s="3" t="s">
        <v>6</v>
      </c>
      <c r="C1191" s="3" t="str">
        <f>"张莹"</f>
        <v>张莹</v>
      </c>
      <c r="D1191" s="3" t="str">
        <f t="shared" si="19"/>
        <v>女</v>
      </c>
      <c r="E1191" s="3" t="str">
        <f>"1993-10-06"</f>
        <v>1993-10-06</v>
      </c>
    </row>
    <row r="1192" spans="1:5" s="4" customFormat="1" ht="18" customHeight="1">
      <c r="A1192" s="3" t="str">
        <f>"21342019073110315497672"</f>
        <v>21342019073110315497672</v>
      </c>
      <c r="B1192" s="3" t="s">
        <v>6</v>
      </c>
      <c r="C1192" s="3" t="str">
        <f>"邢立文"</f>
        <v>邢立文</v>
      </c>
      <c r="D1192" s="3" t="str">
        <f t="shared" si="19"/>
        <v>女</v>
      </c>
      <c r="E1192" s="3" t="str">
        <f>"1995-09-01"</f>
        <v>1995-09-01</v>
      </c>
    </row>
    <row r="1193" spans="1:5" s="4" customFormat="1" ht="18" customHeight="1">
      <c r="A1193" s="3" t="str">
        <f>"21342019073111072297757"</f>
        <v>21342019073111072297757</v>
      </c>
      <c r="B1193" s="3" t="s">
        <v>6</v>
      </c>
      <c r="C1193" s="3" t="str">
        <f>"刘彩清"</f>
        <v>刘彩清</v>
      </c>
      <c r="D1193" s="3" t="str">
        <f t="shared" si="19"/>
        <v>女</v>
      </c>
      <c r="E1193" s="3" t="str">
        <f>"1996-07-10"</f>
        <v>1996-07-10</v>
      </c>
    </row>
    <row r="1194" spans="1:5" s="4" customFormat="1" ht="18" customHeight="1">
      <c r="A1194" s="3" t="str">
        <f>"21342019073111161497770"</f>
        <v>21342019073111161497770</v>
      </c>
      <c r="B1194" s="3" t="s">
        <v>6</v>
      </c>
      <c r="C1194" s="3" t="str">
        <f>"王莹"</f>
        <v>王莹</v>
      </c>
      <c r="D1194" s="3" t="str">
        <f t="shared" si="19"/>
        <v>女</v>
      </c>
      <c r="E1194" s="3" t="str">
        <f>"1996-04-08"</f>
        <v>1996-04-08</v>
      </c>
    </row>
    <row r="1195" spans="1:5" s="4" customFormat="1" ht="18" customHeight="1">
      <c r="A1195" s="3" t="str">
        <f>"21342019073111165497773"</f>
        <v>21342019073111165497773</v>
      </c>
      <c r="B1195" s="3" t="s">
        <v>6</v>
      </c>
      <c r="C1195" s="3" t="str">
        <f>"莫小玲"</f>
        <v>莫小玲</v>
      </c>
      <c r="D1195" s="3" t="str">
        <f t="shared" si="19"/>
        <v>女</v>
      </c>
      <c r="E1195" s="3" t="str">
        <f>"1997-12-16"</f>
        <v>1997-12-16</v>
      </c>
    </row>
    <row r="1196" spans="1:5" s="4" customFormat="1" ht="18" customHeight="1">
      <c r="A1196" s="3" t="str">
        <f>"21342019073111230497782"</f>
        <v>21342019073111230497782</v>
      </c>
      <c r="B1196" s="3" t="s">
        <v>6</v>
      </c>
      <c r="C1196" s="3" t="str">
        <f>"符小妹"</f>
        <v>符小妹</v>
      </c>
      <c r="D1196" s="3" t="str">
        <f t="shared" si="19"/>
        <v>女</v>
      </c>
      <c r="E1196" s="3" t="str">
        <f>"1992-09-14"</f>
        <v>1992-09-14</v>
      </c>
    </row>
    <row r="1197" spans="1:5" s="4" customFormat="1" ht="18" customHeight="1">
      <c r="A1197" s="3" t="str">
        <f>"21342019073111443697814"</f>
        <v>21342019073111443697814</v>
      </c>
      <c r="B1197" s="3" t="s">
        <v>6</v>
      </c>
      <c r="C1197" s="3" t="str">
        <f>"林小妹"</f>
        <v>林小妹</v>
      </c>
      <c r="D1197" s="3" t="str">
        <f t="shared" si="19"/>
        <v>女</v>
      </c>
      <c r="E1197" s="3" t="str">
        <f>"1990-09-22"</f>
        <v>1990-09-22</v>
      </c>
    </row>
    <row r="1198" spans="1:5" s="4" customFormat="1" ht="18" customHeight="1">
      <c r="A1198" s="3" t="str">
        <f>"21342019073111452197816"</f>
        <v>21342019073111452197816</v>
      </c>
      <c r="B1198" s="3" t="s">
        <v>6</v>
      </c>
      <c r="C1198" s="3" t="str">
        <f>"赵冬"</f>
        <v>赵冬</v>
      </c>
      <c r="D1198" s="3" t="str">
        <f t="shared" si="19"/>
        <v>女</v>
      </c>
      <c r="E1198" s="3" t="str">
        <f>"1990-09-01"</f>
        <v>1990-09-01</v>
      </c>
    </row>
    <row r="1199" spans="1:5" s="4" customFormat="1" ht="18" customHeight="1">
      <c r="A1199" s="3" t="str">
        <f>"21342019073111493997824"</f>
        <v>21342019073111493997824</v>
      </c>
      <c r="B1199" s="3" t="s">
        <v>6</v>
      </c>
      <c r="C1199" s="3" t="str">
        <f>"王慧芳"</f>
        <v>王慧芳</v>
      </c>
      <c r="D1199" s="3" t="str">
        <f t="shared" si="19"/>
        <v>女</v>
      </c>
      <c r="E1199" s="3" t="str">
        <f>"1991-07-13"</f>
        <v>1991-07-13</v>
      </c>
    </row>
    <row r="1200" spans="1:5" s="4" customFormat="1" ht="18" customHeight="1">
      <c r="A1200" s="3" t="str">
        <f>"21342019073112192997863"</f>
        <v>21342019073112192997863</v>
      </c>
      <c r="B1200" s="3" t="s">
        <v>6</v>
      </c>
      <c r="C1200" s="3" t="str">
        <f>"罗晶"</f>
        <v>罗晶</v>
      </c>
      <c r="D1200" s="3" t="str">
        <f t="shared" si="19"/>
        <v>女</v>
      </c>
      <c r="E1200" s="3" t="str">
        <f>"1994-11-12"</f>
        <v>1994-11-12</v>
      </c>
    </row>
    <row r="1201" spans="1:5" s="4" customFormat="1" ht="18" customHeight="1">
      <c r="A1201" s="3" t="str">
        <f>"21342019073112194397865"</f>
        <v>21342019073112194397865</v>
      </c>
      <c r="B1201" s="3" t="s">
        <v>6</v>
      </c>
      <c r="C1201" s="3" t="str">
        <f>"张凯丽"</f>
        <v>张凯丽</v>
      </c>
      <c r="D1201" s="3" t="str">
        <f t="shared" si="19"/>
        <v>女</v>
      </c>
      <c r="E1201" s="3" t="str">
        <f>"1995-12-19"</f>
        <v>1995-12-19</v>
      </c>
    </row>
    <row r="1202" spans="1:5" s="4" customFormat="1" ht="18" customHeight="1">
      <c r="A1202" s="3" t="str">
        <f>"21342019073112314097882"</f>
        <v>21342019073112314097882</v>
      </c>
      <c r="B1202" s="3" t="s">
        <v>6</v>
      </c>
      <c r="C1202" s="3" t="str">
        <f>"林燕娥"</f>
        <v>林燕娥</v>
      </c>
      <c r="D1202" s="3" t="str">
        <f t="shared" si="19"/>
        <v>女</v>
      </c>
      <c r="E1202" s="3" t="str">
        <f>"1990-03-02"</f>
        <v>1990-03-02</v>
      </c>
    </row>
    <row r="1203" spans="1:5" s="4" customFormat="1" ht="18" customHeight="1">
      <c r="A1203" s="3" t="str">
        <f>"21342019073112384497899"</f>
        <v>21342019073112384497899</v>
      </c>
      <c r="B1203" s="3" t="s">
        <v>6</v>
      </c>
      <c r="C1203" s="3" t="str">
        <f>"容英"</f>
        <v>容英</v>
      </c>
      <c r="D1203" s="3" t="str">
        <f t="shared" si="19"/>
        <v>女</v>
      </c>
      <c r="E1203" s="3" t="str">
        <f>"1996-08-28"</f>
        <v>1996-08-28</v>
      </c>
    </row>
    <row r="1204" spans="1:5" s="4" customFormat="1" ht="18" customHeight="1">
      <c r="A1204" s="3" t="str">
        <f>"21342019073112542197928"</f>
        <v>21342019073112542197928</v>
      </c>
      <c r="B1204" s="3" t="s">
        <v>6</v>
      </c>
      <c r="C1204" s="3" t="str">
        <f>"唐月婷"</f>
        <v>唐月婷</v>
      </c>
      <c r="D1204" s="3" t="str">
        <f t="shared" si="19"/>
        <v>女</v>
      </c>
      <c r="E1204" s="3" t="str">
        <f>"1993-12-09"</f>
        <v>1993-12-09</v>
      </c>
    </row>
    <row r="1205" spans="1:5" s="4" customFormat="1" ht="18" customHeight="1">
      <c r="A1205" s="3" t="str">
        <f>"21342019073113073597946"</f>
        <v>21342019073113073597946</v>
      </c>
      <c r="B1205" s="3" t="s">
        <v>6</v>
      </c>
      <c r="C1205" s="3" t="str">
        <f>"符月"</f>
        <v>符月</v>
      </c>
      <c r="D1205" s="3" t="str">
        <f t="shared" si="19"/>
        <v>女</v>
      </c>
      <c r="E1205" s="3" t="str">
        <f>"1990-03-01"</f>
        <v>1990-03-01</v>
      </c>
    </row>
    <row r="1206" spans="1:5" s="4" customFormat="1" ht="18" customHeight="1">
      <c r="A1206" s="3" t="str">
        <f>"21342019073113095197950"</f>
        <v>21342019073113095197950</v>
      </c>
      <c r="B1206" s="3" t="s">
        <v>6</v>
      </c>
      <c r="C1206" s="3" t="str">
        <f>"柳重艳"</f>
        <v>柳重艳</v>
      </c>
      <c r="D1206" s="3" t="str">
        <f t="shared" si="19"/>
        <v>女</v>
      </c>
      <c r="E1206" s="3" t="str">
        <f>"1995-03-17"</f>
        <v>1995-03-17</v>
      </c>
    </row>
    <row r="1207" spans="1:5" s="4" customFormat="1" ht="18" customHeight="1">
      <c r="A1207" s="3" t="str">
        <f>"21342019073113201797968"</f>
        <v>21342019073113201797968</v>
      </c>
      <c r="B1207" s="3" t="s">
        <v>6</v>
      </c>
      <c r="C1207" s="3" t="str">
        <f>"李小芳"</f>
        <v>李小芳</v>
      </c>
      <c r="D1207" s="3" t="str">
        <f t="shared" si="19"/>
        <v>女</v>
      </c>
      <c r="E1207" s="3" t="str">
        <f>"1997-08-27"</f>
        <v>1997-08-27</v>
      </c>
    </row>
    <row r="1208" spans="1:5" s="4" customFormat="1" ht="18" customHeight="1">
      <c r="A1208" s="3" t="str">
        <f>"21342019073113341397988"</f>
        <v>21342019073113341397988</v>
      </c>
      <c r="B1208" s="3" t="s">
        <v>6</v>
      </c>
      <c r="C1208" s="3" t="str">
        <f>"王彩敏"</f>
        <v>王彩敏</v>
      </c>
      <c r="D1208" s="3" t="str">
        <f t="shared" si="19"/>
        <v>女</v>
      </c>
      <c r="E1208" s="3" t="str">
        <f>"1993-10-06"</f>
        <v>1993-10-06</v>
      </c>
    </row>
    <row r="1209" spans="1:5" s="4" customFormat="1" ht="18" customHeight="1">
      <c r="A1209" s="3" t="str">
        <f>"21342019073113343797989"</f>
        <v>21342019073113343797989</v>
      </c>
      <c r="B1209" s="3" t="s">
        <v>6</v>
      </c>
      <c r="C1209" s="3" t="str">
        <f>"胡俊娜"</f>
        <v>胡俊娜</v>
      </c>
      <c r="D1209" s="3" t="str">
        <f t="shared" si="19"/>
        <v>女</v>
      </c>
      <c r="E1209" s="3" t="str">
        <f>"1992-09-21"</f>
        <v>1992-09-21</v>
      </c>
    </row>
    <row r="1210" spans="1:5" s="4" customFormat="1" ht="18" customHeight="1">
      <c r="A1210" s="3" t="str">
        <f>"21342019073113434897998"</f>
        <v>21342019073113434897998</v>
      </c>
      <c r="B1210" s="3" t="s">
        <v>6</v>
      </c>
      <c r="C1210" s="3" t="str">
        <f>"吴小惠"</f>
        <v>吴小惠</v>
      </c>
      <c r="D1210" s="3" t="str">
        <f t="shared" si="19"/>
        <v>女</v>
      </c>
      <c r="E1210" s="3" t="str">
        <f>"1995-09-23"</f>
        <v>1995-09-23</v>
      </c>
    </row>
    <row r="1211" spans="1:5" s="4" customFormat="1" ht="18" customHeight="1">
      <c r="A1211" s="3" t="str">
        <f>"21342019073113573998012"</f>
        <v>21342019073113573998012</v>
      </c>
      <c r="B1211" s="3" t="s">
        <v>6</v>
      </c>
      <c r="C1211" s="3" t="str">
        <f>"陈海琼"</f>
        <v>陈海琼</v>
      </c>
      <c r="D1211" s="3" t="str">
        <f t="shared" si="19"/>
        <v>女</v>
      </c>
      <c r="E1211" s="3" t="str">
        <f>"1994-02-10"</f>
        <v>1994-02-10</v>
      </c>
    </row>
    <row r="1212" spans="1:5" s="4" customFormat="1" ht="18" customHeight="1">
      <c r="A1212" s="3" t="str">
        <f>"21342019073114091998028"</f>
        <v>21342019073114091998028</v>
      </c>
      <c r="B1212" s="3" t="s">
        <v>6</v>
      </c>
      <c r="C1212" s="3" t="str">
        <f>"陈来欢"</f>
        <v>陈来欢</v>
      </c>
      <c r="D1212" s="3" t="str">
        <f t="shared" si="19"/>
        <v>女</v>
      </c>
      <c r="E1212" s="3" t="str">
        <f>"1995-08-19"</f>
        <v>1995-08-19</v>
      </c>
    </row>
    <row r="1213" spans="1:5" s="4" customFormat="1" ht="18" customHeight="1">
      <c r="A1213" s="3" t="str">
        <f>"21342019073114185798038"</f>
        <v>21342019073114185798038</v>
      </c>
      <c r="B1213" s="3" t="s">
        <v>6</v>
      </c>
      <c r="C1213" s="3" t="str">
        <f>"张兰燕"</f>
        <v>张兰燕</v>
      </c>
      <c r="D1213" s="3" t="str">
        <f t="shared" si="19"/>
        <v>女</v>
      </c>
      <c r="E1213" s="3" t="str">
        <f>"1993-05-16"</f>
        <v>1993-05-16</v>
      </c>
    </row>
    <row r="1214" spans="1:5" s="4" customFormat="1" ht="18" customHeight="1">
      <c r="A1214" s="3" t="str">
        <f>"21342019073114222798042"</f>
        <v>21342019073114222798042</v>
      </c>
      <c r="B1214" s="3" t="s">
        <v>6</v>
      </c>
      <c r="C1214" s="3" t="str">
        <f>"傅小琳"</f>
        <v>傅小琳</v>
      </c>
      <c r="D1214" s="3" t="str">
        <f t="shared" si="19"/>
        <v>女</v>
      </c>
      <c r="E1214" s="3" t="str">
        <f>"1995-02-09"</f>
        <v>1995-02-09</v>
      </c>
    </row>
    <row r="1215" spans="1:5" s="4" customFormat="1" ht="18" customHeight="1">
      <c r="A1215" s="3" t="str">
        <f>"21342019073114293498056"</f>
        <v>21342019073114293498056</v>
      </c>
      <c r="B1215" s="3" t="s">
        <v>6</v>
      </c>
      <c r="C1215" s="3" t="str">
        <f>"林靖芸"</f>
        <v>林靖芸</v>
      </c>
      <c r="D1215" s="3" t="str">
        <f t="shared" si="19"/>
        <v>女</v>
      </c>
      <c r="E1215" s="3" t="str">
        <f>"1990-09-30"</f>
        <v>1990-09-30</v>
      </c>
    </row>
    <row r="1216" spans="1:5" s="4" customFormat="1" ht="18" customHeight="1">
      <c r="A1216" s="3" t="str">
        <f>"21342019073114412998077"</f>
        <v>21342019073114412998077</v>
      </c>
      <c r="B1216" s="3" t="s">
        <v>6</v>
      </c>
      <c r="C1216" s="3" t="str">
        <f>"林娇丽"</f>
        <v>林娇丽</v>
      </c>
      <c r="D1216" s="3" t="str">
        <f t="shared" si="19"/>
        <v>女</v>
      </c>
      <c r="E1216" s="3" t="str">
        <f>"1991-12-22"</f>
        <v>1991-12-22</v>
      </c>
    </row>
    <row r="1217" spans="1:5" s="4" customFormat="1" ht="18" customHeight="1">
      <c r="A1217" s="3" t="str">
        <f>"21342019073114413498079"</f>
        <v>21342019073114413498079</v>
      </c>
      <c r="B1217" s="3" t="s">
        <v>6</v>
      </c>
      <c r="C1217" s="3" t="str">
        <f>"文巨月"</f>
        <v>文巨月</v>
      </c>
      <c r="D1217" s="3" t="str">
        <f t="shared" si="19"/>
        <v>女</v>
      </c>
      <c r="E1217" s="3" t="str">
        <f>"1993-08-22"</f>
        <v>1993-08-22</v>
      </c>
    </row>
    <row r="1218" spans="1:5" s="4" customFormat="1" ht="18" customHeight="1">
      <c r="A1218" s="3" t="str">
        <f>"21342019073115070598123"</f>
        <v>21342019073115070598123</v>
      </c>
      <c r="B1218" s="3" t="s">
        <v>6</v>
      </c>
      <c r="C1218" s="3" t="str">
        <f>"王诗柔"</f>
        <v>王诗柔</v>
      </c>
      <c r="D1218" s="3" t="str">
        <f t="shared" si="19"/>
        <v>女</v>
      </c>
      <c r="E1218" s="3" t="str">
        <f>"1998-09-29"</f>
        <v>1998-09-29</v>
      </c>
    </row>
    <row r="1219" spans="1:5" s="4" customFormat="1" ht="18" customHeight="1">
      <c r="A1219" s="3" t="str">
        <f>"21342019073115294998161"</f>
        <v>21342019073115294998161</v>
      </c>
      <c r="B1219" s="3" t="s">
        <v>6</v>
      </c>
      <c r="C1219" s="3" t="str">
        <f>"占海清"</f>
        <v>占海清</v>
      </c>
      <c r="D1219" s="3" t="str">
        <f t="shared" si="19"/>
        <v>女</v>
      </c>
      <c r="E1219" s="3" t="str">
        <f>"1998-03-14"</f>
        <v>1998-03-14</v>
      </c>
    </row>
    <row r="1220" spans="1:5" s="4" customFormat="1" ht="18" customHeight="1">
      <c r="A1220" s="3" t="str">
        <f>"21342019073115374898171"</f>
        <v>21342019073115374898171</v>
      </c>
      <c r="B1220" s="3" t="s">
        <v>6</v>
      </c>
      <c r="C1220" s="3" t="str">
        <f>"柯春意"</f>
        <v>柯春意</v>
      </c>
      <c r="D1220" s="3" t="str">
        <f t="shared" si="19"/>
        <v>女</v>
      </c>
      <c r="E1220" s="3" t="str">
        <f>"1992-07-06"</f>
        <v>1992-07-06</v>
      </c>
    </row>
    <row r="1221" spans="1:5" s="4" customFormat="1" ht="18" customHeight="1">
      <c r="A1221" s="3" t="str">
        <f>"21342019073115443898178"</f>
        <v>21342019073115443898178</v>
      </c>
      <c r="B1221" s="3" t="s">
        <v>6</v>
      </c>
      <c r="C1221" s="3" t="str">
        <f>"冯政"</f>
        <v>冯政</v>
      </c>
      <c r="D1221" s="3" t="str">
        <f t="shared" si="19"/>
        <v>女</v>
      </c>
      <c r="E1221" s="3" t="str">
        <f>"1989-12-26"</f>
        <v>1989-12-26</v>
      </c>
    </row>
    <row r="1222" spans="1:5" s="4" customFormat="1" ht="18" customHeight="1">
      <c r="A1222" s="3" t="str">
        <f>"21342019073115471998182"</f>
        <v>21342019073115471998182</v>
      </c>
      <c r="B1222" s="3" t="s">
        <v>6</v>
      </c>
      <c r="C1222" s="3" t="str">
        <f>"张秋爱"</f>
        <v>张秋爱</v>
      </c>
      <c r="D1222" s="3" t="str">
        <f t="shared" si="19"/>
        <v>女</v>
      </c>
      <c r="E1222" s="3" t="str">
        <f>"1991-09-04"</f>
        <v>1991-09-04</v>
      </c>
    </row>
    <row r="1223" spans="1:5" s="4" customFormat="1" ht="18" customHeight="1">
      <c r="A1223" s="3" t="str">
        <f>"21342019073115525998189"</f>
        <v>21342019073115525998189</v>
      </c>
      <c r="B1223" s="3" t="s">
        <v>6</v>
      </c>
      <c r="C1223" s="3" t="str">
        <f>"王燕敏"</f>
        <v>王燕敏</v>
      </c>
      <c r="D1223" s="3" t="str">
        <f t="shared" si="19"/>
        <v>女</v>
      </c>
      <c r="E1223" s="3" t="str">
        <f>"1994-10-12"</f>
        <v>1994-10-12</v>
      </c>
    </row>
    <row r="1224" spans="1:5" s="4" customFormat="1" ht="18" customHeight="1">
      <c r="A1224" s="3" t="str">
        <f>"21342019073116085598218"</f>
        <v>21342019073116085598218</v>
      </c>
      <c r="B1224" s="3" t="s">
        <v>6</v>
      </c>
      <c r="C1224" s="3" t="str">
        <f>"张金乾"</f>
        <v>张金乾</v>
      </c>
      <c r="D1224" s="3" t="str">
        <f t="shared" si="19"/>
        <v>女</v>
      </c>
      <c r="E1224" s="3" t="str">
        <f>"1997-06-10"</f>
        <v>1997-06-10</v>
      </c>
    </row>
    <row r="1225" spans="1:5" s="4" customFormat="1" ht="18" customHeight="1">
      <c r="A1225" s="3" t="str">
        <f>"21342019073116343798241"</f>
        <v>21342019073116343798241</v>
      </c>
      <c r="B1225" s="3" t="s">
        <v>6</v>
      </c>
      <c r="C1225" s="3" t="str">
        <f>"谭秋兰"</f>
        <v>谭秋兰</v>
      </c>
      <c r="D1225" s="3" t="str">
        <f t="shared" si="19"/>
        <v>女</v>
      </c>
      <c r="E1225" s="3" t="str">
        <f>"1991-12-28"</f>
        <v>1991-12-28</v>
      </c>
    </row>
    <row r="1226" spans="1:5" s="4" customFormat="1" ht="18" customHeight="1">
      <c r="A1226" s="3" t="str">
        <f>"21342019073116343998242"</f>
        <v>21342019073116343998242</v>
      </c>
      <c r="B1226" s="3" t="s">
        <v>6</v>
      </c>
      <c r="C1226" s="3" t="str">
        <f>"符孟烨"</f>
        <v>符孟烨</v>
      </c>
      <c r="D1226" s="3" t="str">
        <f t="shared" si="19"/>
        <v>女</v>
      </c>
      <c r="E1226" s="3" t="str">
        <f>"1994-04-07"</f>
        <v>1994-04-07</v>
      </c>
    </row>
    <row r="1227" spans="1:5" s="4" customFormat="1" ht="18" customHeight="1">
      <c r="A1227" s="3" t="str">
        <f>"21342019073116372898247"</f>
        <v>21342019073116372898247</v>
      </c>
      <c r="B1227" s="3" t="s">
        <v>6</v>
      </c>
      <c r="C1227" s="3" t="str">
        <f>"黄允凤"</f>
        <v>黄允凤</v>
      </c>
      <c r="D1227" s="3" t="str">
        <f t="shared" si="19"/>
        <v>女</v>
      </c>
      <c r="E1227" s="3" t="str">
        <f>"1995-10-12"</f>
        <v>1995-10-12</v>
      </c>
    </row>
    <row r="1228" spans="1:5" s="4" customFormat="1" ht="18" customHeight="1">
      <c r="A1228" s="3" t="str">
        <f>"21342019073116584498272"</f>
        <v>21342019073116584498272</v>
      </c>
      <c r="B1228" s="3" t="s">
        <v>6</v>
      </c>
      <c r="C1228" s="3" t="str">
        <f>"韦乔镄"</f>
        <v>韦乔镄</v>
      </c>
      <c r="D1228" s="3" t="str">
        <f t="shared" si="19"/>
        <v>女</v>
      </c>
      <c r="E1228" s="3" t="str">
        <f>"1992-03-10"</f>
        <v>1992-03-10</v>
      </c>
    </row>
    <row r="1229" spans="1:5" s="4" customFormat="1" ht="18" customHeight="1">
      <c r="A1229" s="3" t="str">
        <f>"21342019073116595198274"</f>
        <v>21342019073116595198274</v>
      </c>
      <c r="B1229" s="3" t="s">
        <v>6</v>
      </c>
      <c r="C1229" s="3" t="str">
        <f>"谢幼萍"</f>
        <v>谢幼萍</v>
      </c>
      <c r="D1229" s="3" t="str">
        <f t="shared" si="19"/>
        <v>女</v>
      </c>
      <c r="E1229" s="3" t="str">
        <f>"1997-03-24"</f>
        <v>1997-03-24</v>
      </c>
    </row>
    <row r="1230" spans="1:5" s="4" customFormat="1" ht="18" customHeight="1">
      <c r="A1230" s="3" t="str">
        <f>"21342019073117020898277"</f>
        <v>21342019073117020898277</v>
      </c>
      <c r="B1230" s="3" t="s">
        <v>6</v>
      </c>
      <c r="C1230" s="3" t="str">
        <f>"林春艳"</f>
        <v>林春艳</v>
      </c>
      <c r="D1230" s="3" t="str">
        <f t="shared" si="19"/>
        <v>女</v>
      </c>
      <c r="E1230" s="3" t="str">
        <f>"1989-10-08"</f>
        <v>1989-10-08</v>
      </c>
    </row>
    <row r="1231" spans="1:5" s="4" customFormat="1" ht="18" customHeight="1">
      <c r="A1231" s="3" t="str">
        <f>"21342019073117163198288"</f>
        <v>21342019073117163198288</v>
      </c>
      <c r="B1231" s="3" t="s">
        <v>6</v>
      </c>
      <c r="C1231" s="3" t="str">
        <f>"麦小燕"</f>
        <v>麦小燕</v>
      </c>
      <c r="D1231" s="3" t="str">
        <f t="shared" si="19"/>
        <v>女</v>
      </c>
      <c r="E1231" s="3" t="str">
        <f>"1997-01-09"</f>
        <v>1997-01-09</v>
      </c>
    </row>
    <row r="1232" spans="1:5" s="4" customFormat="1" ht="18" customHeight="1">
      <c r="A1232" s="3" t="str">
        <f>"21342019073117213698292"</f>
        <v>21342019073117213698292</v>
      </c>
      <c r="B1232" s="3" t="s">
        <v>6</v>
      </c>
      <c r="C1232" s="3" t="str">
        <f>"陈小玥"</f>
        <v>陈小玥</v>
      </c>
      <c r="D1232" s="3" t="str">
        <f t="shared" si="19"/>
        <v>女</v>
      </c>
      <c r="E1232" s="3" t="str">
        <f>"1990-09-22"</f>
        <v>1990-09-22</v>
      </c>
    </row>
    <row r="1233" spans="1:5" s="4" customFormat="1" ht="18" customHeight="1">
      <c r="A1233" s="3" t="str">
        <f>"21342019073117252998293"</f>
        <v>21342019073117252998293</v>
      </c>
      <c r="B1233" s="3" t="s">
        <v>6</v>
      </c>
      <c r="C1233" s="3" t="str">
        <f>"陈曼菁"</f>
        <v>陈曼菁</v>
      </c>
      <c r="D1233" s="3" t="str">
        <f t="shared" si="19"/>
        <v>女</v>
      </c>
      <c r="E1233" s="3" t="str">
        <f>"1996-07-28"</f>
        <v>1996-07-28</v>
      </c>
    </row>
    <row r="1234" spans="1:5" s="4" customFormat="1" ht="18" customHeight="1">
      <c r="A1234" s="3" t="str">
        <f>"21342019073117352598301"</f>
        <v>21342019073117352598301</v>
      </c>
      <c r="B1234" s="3" t="s">
        <v>6</v>
      </c>
      <c r="C1234" s="3" t="str">
        <f>"欧淑贞"</f>
        <v>欧淑贞</v>
      </c>
      <c r="D1234" s="3" t="str">
        <f t="shared" si="19"/>
        <v>女</v>
      </c>
      <c r="E1234" s="3" t="str">
        <f>"1995-09-19"</f>
        <v>1995-09-19</v>
      </c>
    </row>
    <row r="1235" spans="1:5" s="4" customFormat="1" ht="18" customHeight="1">
      <c r="A1235" s="3" t="str">
        <f>"21342019073117430298311"</f>
        <v>21342019073117430298311</v>
      </c>
      <c r="B1235" s="3" t="s">
        <v>6</v>
      </c>
      <c r="C1235" s="3" t="str">
        <f>"符丽红"</f>
        <v>符丽红</v>
      </c>
      <c r="D1235" s="3" t="str">
        <f aca="true" t="shared" si="20" ref="D1235:D1298">"女"</f>
        <v>女</v>
      </c>
      <c r="E1235" s="3" t="str">
        <f>"1989-12-18"</f>
        <v>1989-12-18</v>
      </c>
    </row>
    <row r="1236" spans="1:5" s="4" customFormat="1" ht="18" customHeight="1">
      <c r="A1236" s="3" t="str">
        <f>"21342019073118034198322"</f>
        <v>21342019073118034198322</v>
      </c>
      <c r="B1236" s="3" t="s">
        <v>6</v>
      </c>
      <c r="C1236" s="3" t="str">
        <f>"刘少俐"</f>
        <v>刘少俐</v>
      </c>
      <c r="D1236" s="3" t="str">
        <f t="shared" si="20"/>
        <v>女</v>
      </c>
      <c r="E1236" s="3" t="str">
        <f>"1989-10-04"</f>
        <v>1989-10-04</v>
      </c>
    </row>
    <row r="1237" spans="1:5" s="4" customFormat="1" ht="18" customHeight="1">
      <c r="A1237" s="3" t="str">
        <f>"21342019073118092698328"</f>
        <v>21342019073118092698328</v>
      </c>
      <c r="B1237" s="3" t="s">
        <v>6</v>
      </c>
      <c r="C1237" s="3" t="str">
        <f>"符博妃"</f>
        <v>符博妃</v>
      </c>
      <c r="D1237" s="3" t="str">
        <f t="shared" si="20"/>
        <v>女</v>
      </c>
      <c r="E1237" s="3" t="str">
        <f>"1996-04-01"</f>
        <v>1996-04-01</v>
      </c>
    </row>
    <row r="1238" spans="1:5" s="4" customFormat="1" ht="18" customHeight="1">
      <c r="A1238" s="3" t="str">
        <f>"21342019073118284698343"</f>
        <v>21342019073118284698343</v>
      </c>
      <c r="B1238" s="3" t="s">
        <v>6</v>
      </c>
      <c r="C1238" s="3" t="str">
        <f>"周小妹"</f>
        <v>周小妹</v>
      </c>
      <c r="D1238" s="3" t="str">
        <f t="shared" si="20"/>
        <v>女</v>
      </c>
      <c r="E1238" s="3" t="str">
        <f>"1994-04-10"</f>
        <v>1994-04-10</v>
      </c>
    </row>
    <row r="1239" spans="1:5" s="4" customFormat="1" ht="18" customHeight="1">
      <c r="A1239" s="3" t="str">
        <f>"21342019073118421698356"</f>
        <v>21342019073118421698356</v>
      </c>
      <c r="B1239" s="3" t="s">
        <v>6</v>
      </c>
      <c r="C1239" s="3" t="str">
        <f>"吴琪琦"</f>
        <v>吴琪琦</v>
      </c>
      <c r="D1239" s="3" t="str">
        <f t="shared" si="20"/>
        <v>女</v>
      </c>
      <c r="E1239" s="3" t="str">
        <f>"1995-10-26"</f>
        <v>1995-10-26</v>
      </c>
    </row>
    <row r="1240" spans="1:5" s="4" customFormat="1" ht="18" customHeight="1">
      <c r="A1240" s="3" t="str">
        <f>"21342019073119151198379"</f>
        <v>21342019073119151198379</v>
      </c>
      <c r="B1240" s="3" t="s">
        <v>6</v>
      </c>
      <c r="C1240" s="3" t="str">
        <f>"王丹阳"</f>
        <v>王丹阳</v>
      </c>
      <c r="D1240" s="3" t="str">
        <f t="shared" si="20"/>
        <v>女</v>
      </c>
      <c r="E1240" s="3" t="str">
        <f>"1997-08-06"</f>
        <v>1997-08-06</v>
      </c>
    </row>
    <row r="1241" spans="1:5" s="4" customFormat="1" ht="18" customHeight="1">
      <c r="A1241" s="3" t="str">
        <f>"21342019073119152098380"</f>
        <v>21342019073119152098380</v>
      </c>
      <c r="B1241" s="3" t="s">
        <v>6</v>
      </c>
      <c r="C1241" s="3" t="str">
        <f>"符璐旖"</f>
        <v>符璐旖</v>
      </c>
      <c r="D1241" s="3" t="str">
        <f t="shared" si="20"/>
        <v>女</v>
      </c>
      <c r="E1241" s="3" t="str">
        <f>"1989-10-24"</f>
        <v>1989-10-24</v>
      </c>
    </row>
    <row r="1242" spans="1:5" s="4" customFormat="1" ht="18" customHeight="1">
      <c r="A1242" s="3" t="str">
        <f>"21342019073119280398387"</f>
        <v>21342019073119280398387</v>
      </c>
      <c r="B1242" s="3" t="s">
        <v>6</v>
      </c>
      <c r="C1242" s="3" t="str">
        <f>"李萍丹"</f>
        <v>李萍丹</v>
      </c>
      <c r="D1242" s="3" t="str">
        <f t="shared" si="20"/>
        <v>女</v>
      </c>
      <c r="E1242" s="3" t="str">
        <f>"1995-07-05"</f>
        <v>1995-07-05</v>
      </c>
    </row>
    <row r="1243" spans="1:5" s="4" customFormat="1" ht="18" customHeight="1">
      <c r="A1243" s="3" t="str">
        <f>"21342019073119315898390"</f>
        <v>21342019073119315898390</v>
      </c>
      <c r="B1243" s="3" t="s">
        <v>6</v>
      </c>
      <c r="C1243" s="3" t="str">
        <f>"苏月梅"</f>
        <v>苏月梅</v>
      </c>
      <c r="D1243" s="3" t="str">
        <f t="shared" si="20"/>
        <v>女</v>
      </c>
      <c r="E1243" s="3" t="str">
        <f>"1992-03-19"</f>
        <v>1992-03-19</v>
      </c>
    </row>
    <row r="1244" spans="1:5" s="4" customFormat="1" ht="18" customHeight="1">
      <c r="A1244" s="3" t="str">
        <f>"21342019073119534098404"</f>
        <v>21342019073119534098404</v>
      </c>
      <c r="B1244" s="3" t="s">
        <v>6</v>
      </c>
      <c r="C1244" s="3" t="str">
        <f>"曾冬鑫"</f>
        <v>曾冬鑫</v>
      </c>
      <c r="D1244" s="3" t="str">
        <f t="shared" si="20"/>
        <v>女</v>
      </c>
      <c r="E1244" s="3" t="str">
        <f>"1996-08-31"</f>
        <v>1996-08-31</v>
      </c>
    </row>
    <row r="1245" spans="1:5" s="4" customFormat="1" ht="18" customHeight="1">
      <c r="A1245" s="3" t="str">
        <f>"21342019073119543298406"</f>
        <v>21342019073119543298406</v>
      </c>
      <c r="B1245" s="3" t="s">
        <v>6</v>
      </c>
      <c r="C1245" s="3" t="str">
        <f>"陈丽娟"</f>
        <v>陈丽娟</v>
      </c>
      <c r="D1245" s="3" t="str">
        <f t="shared" si="20"/>
        <v>女</v>
      </c>
      <c r="E1245" s="3" t="str">
        <f>"1992-08-01"</f>
        <v>1992-08-01</v>
      </c>
    </row>
    <row r="1246" spans="1:5" s="4" customFormat="1" ht="18" customHeight="1">
      <c r="A1246" s="3" t="str">
        <f>"21342019073120033898411"</f>
        <v>21342019073120033898411</v>
      </c>
      <c r="B1246" s="3" t="s">
        <v>6</v>
      </c>
      <c r="C1246" s="3" t="str">
        <f>"陈矛"</f>
        <v>陈矛</v>
      </c>
      <c r="D1246" s="3" t="str">
        <f t="shared" si="20"/>
        <v>女</v>
      </c>
      <c r="E1246" s="3" t="str">
        <f>"1996-07-05"</f>
        <v>1996-07-05</v>
      </c>
    </row>
    <row r="1247" spans="1:5" s="4" customFormat="1" ht="18" customHeight="1">
      <c r="A1247" s="3" t="str">
        <f>"21342019073120133598419"</f>
        <v>21342019073120133598419</v>
      </c>
      <c r="B1247" s="3" t="s">
        <v>6</v>
      </c>
      <c r="C1247" s="3" t="str">
        <f>"王冬零"</f>
        <v>王冬零</v>
      </c>
      <c r="D1247" s="3" t="str">
        <f t="shared" si="20"/>
        <v>女</v>
      </c>
      <c r="E1247" s="3" t="str">
        <f>"1997-05-29"</f>
        <v>1997-05-29</v>
      </c>
    </row>
    <row r="1248" spans="1:5" s="4" customFormat="1" ht="18" customHeight="1">
      <c r="A1248" s="3" t="str">
        <f>"21342019073120142598420"</f>
        <v>21342019073120142598420</v>
      </c>
      <c r="B1248" s="3" t="s">
        <v>6</v>
      </c>
      <c r="C1248" s="3" t="str">
        <f>"郭忠丽"</f>
        <v>郭忠丽</v>
      </c>
      <c r="D1248" s="3" t="str">
        <f t="shared" si="20"/>
        <v>女</v>
      </c>
      <c r="E1248" s="3" t="str">
        <f>"1993-06-28"</f>
        <v>1993-06-28</v>
      </c>
    </row>
    <row r="1249" spans="1:5" s="4" customFormat="1" ht="18" customHeight="1">
      <c r="A1249" s="3" t="str">
        <f>"21342019073120183098423"</f>
        <v>21342019073120183098423</v>
      </c>
      <c r="B1249" s="3" t="s">
        <v>6</v>
      </c>
      <c r="C1249" s="3" t="str">
        <f>"王金男"</f>
        <v>王金男</v>
      </c>
      <c r="D1249" s="3" t="str">
        <f t="shared" si="20"/>
        <v>女</v>
      </c>
      <c r="E1249" s="3" t="str">
        <f>"1989-10-16"</f>
        <v>1989-10-16</v>
      </c>
    </row>
    <row r="1250" spans="1:5" s="4" customFormat="1" ht="18" customHeight="1">
      <c r="A1250" s="3" t="str">
        <f>"21342019073120235598425"</f>
        <v>21342019073120235598425</v>
      </c>
      <c r="B1250" s="3" t="s">
        <v>6</v>
      </c>
      <c r="C1250" s="3" t="str">
        <f>"林璐楠"</f>
        <v>林璐楠</v>
      </c>
      <c r="D1250" s="3" t="str">
        <f t="shared" si="20"/>
        <v>女</v>
      </c>
      <c r="E1250" s="3" t="str">
        <f>"1995-03-18"</f>
        <v>1995-03-18</v>
      </c>
    </row>
    <row r="1251" spans="1:5" s="4" customFormat="1" ht="18" customHeight="1">
      <c r="A1251" s="3" t="str">
        <f>"21342019073120291398430"</f>
        <v>21342019073120291398430</v>
      </c>
      <c r="B1251" s="3" t="s">
        <v>6</v>
      </c>
      <c r="C1251" s="3" t="str">
        <f>"林凤"</f>
        <v>林凤</v>
      </c>
      <c r="D1251" s="3" t="str">
        <f t="shared" si="20"/>
        <v>女</v>
      </c>
      <c r="E1251" s="3" t="str">
        <f>"1994-02-03"</f>
        <v>1994-02-03</v>
      </c>
    </row>
    <row r="1252" spans="1:5" s="4" customFormat="1" ht="18" customHeight="1">
      <c r="A1252" s="3" t="str">
        <f>"21342019073120330998432"</f>
        <v>21342019073120330998432</v>
      </c>
      <c r="B1252" s="3" t="s">
        <v>6</v>
      </c>
      <c r="C1252" s="3" t="str">
        <f>"顾娟娟"</f>
        <v>顾娟娟</v>
      </c>
      <c r="D1252" s="3" t="str">
        <f t="shared" si="20"/>
        <v>女</v>
      </c>
      <c r="E1252" s="3" t="str">
        <f>"1997-07-27"</f>
        <v>1997-07-27</v>
      </c>
    </row>
    <row r="1253" spans="1:5" s="4" customFormat="1" ht="18" customHeight="1">
      <c r="A1253" s="3" t="str">
        <f>"21342019073121020698450"</f>
        <v>21342019073121020698450</v>
      </c>
      <c r="B1253" s="3" t="s">
        <v>6</v>
      </c>
      <c r="C1253" s="3" t="str">
        <f>"符艳花"</f>
        <v>符艳花</v>
      </c>
      <c r="D1253" s="3" t="str">
        <f t="shared" si="20"/>
        <v>女</v>
      </c>
      <c r="E1253" s="3" t="str">
        <f>"1992-06-15"</f>
        <v>1992-06-15</v>
      </c>
    </row>
    <row r="1254" spans="1:5" s="4" customFormat="1" ht="18" customHeight="1">
      <c r="A1254" s="3" t="str">
        <f>"21342019073121105098454"</f>
        <v>21342019073121105098454</v>
      </c>
      <c r="B1254" s="3" t="s">
        <v>6</v>
      </c>
      <c r="C1254" s="3" t="str">
        <f>"黄冬卡"</f>
        <v>黄冬卡</v>
      </c>
      <c r="D1254" s="3" t="str">
        <f t="shared" si="20"/>
        <v>女</v>
      </c>
      <c r="E1254" s="3" t="str">
        <f>"1994-11-21"</f>
        <v>1994-11-21</v>
      </c>
    </row>
    <row r="1255" spans="1:5" s="4" customFormat="1" ht="18" customHeight="1">
      <c r="A1255" s="3" t="str">
        <f>"21342019073121121298455"</f>
        <v>21342019073121121298455</v>
      </c>
      <c r="B1255" s="3" t="s">
        <v>6</v>
      </c>
      <c r="C1255" s="3" t="str">
        <f>"李丽"</f>
        <v>李丽</v>
      </c>
      <c r="D1255" s="3" t="str">
        <f t="shared" si="20"/>
        <v>女</v>
      </c>
      <c r="E1255" s="3" t="str">
        <f>"1995-08-27"</f>
        <v>1995-08-27</v>
      </c>
    </row>
    <row r="1256" spans="1:5" s="4" customFormat="1" ht="18" customHeight="1">
      <c r="A1256" s="3" t="str">
        <f>"21342019073121174198457"</f>
        <v>21342019073121174198457</v>
      </c>
      <c r="B1256" s="3" t="s">
        <v>6</v>
      </c>
      <c r="C1256" s="3" t="str">
        <f>"陈艳"</f>
        <v>陈艳</v>
      </c>
      <c r="D1256" s="3" t="str">
        <f t="shared" si="20"/>
        <v>女</v>
      </c>
      <c r="E1256" s="3" t="str">
        <f>"1995-06-07"</f>
        <v>1995-06-07</v>
      </c>
    </row>
    <row r="1257" spans="1:5" s="4" customFormat="1" ht="18" customHeight="1">
      <c r="A1257" s="3" t="str">
        <f>"21342019073121254298459"</f>
        <v>21342019073121254298459</v>
      </c>
      <c r="B1257" s="3" t="s">
        <v>6</v>
      </c>
      <c r="C1257" s="3" t="str">
        <f>"黎亨柔"</f>
        <v>黎亨柔</v>
      </c>
      <c r="D1257" s="3" t="str">
        <f t="shared" si="20"/>
        <v>女</v>
      </c>
      <c r="E1257" s="3" t="str">
        <f>"1993-11-02"</f>
        <v>1993-11-02</v>
      </c>
    </row>
    <row r="1258" spans="1:5" s="4" customFormat="1" ht="18" customHeight="1">
      <c r="A1258" s="3" t="str">
        <f>"21342019073121361698461"</f>
        <v>21342019073121361698461</v>
      </c>
      <c r="B1258" s="3" t="s">
        <v>6</v>
      </c>
      <c r="C1258" s="3" t="str">
        <f>"李书真"</f>
        <v>李书真</v>
      </c>
      <c r="D1258" s="3" t="str">
        <f t="shared" si="20"/>
        <v>女</v>
      </c>
      <c r="E1258" s="3" t="str">
        <f>"1993-09-21"</f>
        <v>1993-09-21</v>
      </c>
    </row>
    <row r="1259" spans="1:5" s="4" customFormat="1" ht="18" customHeight="1">
      <c r="A1259" s="3" t="str">
        <f>"21342019073121503798468"</f>
        <v>21342019073121503798468</v>
      </c>
      <c r="B1259" s="3" t="s">
        <v>6</v>
      </c>
      <c r="C1259" s="3" t="str">
        <f>"曾春桃"</f>
        <v>曾春桃</v>
      </c>
      <c r="D1259" s="3" t="str">
        <f t="shared" si="20"/>
        <v>女</v>
      </c>
      <c r="E1259" s="3" t="str">
        <f>"1996-01-16"</f>
        <v>1996-01-16</v>
      </c>
    </row>
    <row r="1260" spans="1:5" s="4" customFormat="1" ht="18" customHeight="1">
      <c r="A1260" s="3" t="str">
        <f>"21342019073121520698471"</f>
        <v>21342019073121520698471</v>
      </c>
      <c r="B1260" s="3" t="s">
        <v>6</v>
      </c>
      <c r="C1260" s="3" t="str">
        <f>"张云霞"</f>
        <v>张云霞</v>
      </c>
      <c r="D1260" s="3" t="str">
        <f t="shared" si="20"/>
        <v>女</v>
      </c>
      <c r="E1260" s="3" t="str">
        <f>"1995-04-17"</f>
        <v>1995-04-17</v>
      </c>
    </row>
    <row r="1261" spans="1:5" s="4" customFormat="1" ht="18" customHeight="1">
      <c r="A1261" s="3" t="str">
        <f>"21342019073121541398472"</f>
        <v>21342019073121541398472</v>
      </c>
      <c r="B1261" s="3" t="s">
        <v>6</v>
      </c>
      <c r="C1261" s="3" t="str">
        <f>"刘善慧"</f>
        <v>刘善慧</v>
      </c>
      <c r="D1261" s="3" t="str">
        <f t="shared" si="20"/>
        <v>女</v>
      </c>
      <c r="E1261" s="3" t="str">
        <f>"1991-10-29"</f>
        <v>1991-10-29</v>
      </c>
    </row>
    <row r="1262" spans="1:5" s="4" customFormat="1" ht="18" customHeight="1">
      <c r="A1262" s="3" t="str">
        <f>"21342019073121542298473"</f>
        <v>21342019073121542298473</v>
      </c>
      <c r="B1262" s="3" t="s">
        <v>6</v>
      </c>
      <c r="C1262" s="3" t="str">
        <f>"杨菁"</f>
        <v>杨菁</v>
      </c>
      <c r="D1262" s="3" t="str">
        <f t="shared" si="20"/>
        <v>女</v>
      </c>
      <c r="E1262" s="3" t="str">
        <f>"1993-07-23"</f>
        <v>1993-07-23</v>
      </c>
    </row>
    <row r="1263" spans="1:5" s="4" customFormat="1" ht="18" customHeight="1">
      <c r="A1263" s="3" t="str">
        <f>"21342019073121551398475"</f>
        <v>21342019073121551398475</v>
      </c>
      <c r="B1263" s="3" t="s">
        <v>6</v>
      </c>
      <c r="C1263" s="3" t="str">
        <f>"冯琼娜"</f>
        <v>冯琼娜</v>
      </c>
      <c r="D1263" s="3" t="str">
        <f t="shared" si="20"/>
        <v>女</v>
      </c>
      <c r="E1263" s="3" t="str">
        <f>"1992-02-17"</f>
        <v>1992-02-17</v>
      </c>
    </row>
    <row r="1264" spans="1:5" s="4" customFormat="1" ht="18" customHeight="1">
      <c r="A1264" s="3" t="str">
        <f>"21342019073121552598476"</f>
        <v>21342019073121552598476</v>
      </c>
      <c r="B1264" s="3" t="s">
        <v>6</v>
      </c>
      <c r="C1264" s="3" t="str">
        <f>"罗方岭"</f>
        <v>罗方岭</v>
      </c>
      <c r="D1264" s="3" t="str">
        <f t="shared" si="20"/>
        <v>女</v>
      </c>
      <c r="E1264" s="3" t="str">
        <f>"1993-09-24"</f>
        <v>1993-09-24</v>
      </c>
    </row>
    <row r="1265" spans="1:5" s="4" customFormat="1" ht="18" customHeight="1">
      <c r="A1265" s="3" t="str">
        <f>"21342019073122114598481"</f>
        <v>21342019073122114598481</v>
      </c>
      <c r="B1265" s="3" t="s">
        <v>6</v>
      </c>
      <c r="C1265" s="3" t="str">
        <f>"王方霞"</f>
        <v>王方霞</v>
      </c>
      <c r="D1265" s="3" t="str">
        <f t="shared" si="20"/>
        <v>女</v>
      </c>
      <c r="E1265" s="3" t="str">
        <f>"1994-07-16"</f>
        <v>1994-07-16</v>
      </c>
    </row>
    <row r="1266" spans="1:5" s="4" customFormat="1" ht="18" customHeight="1">
      <c r="A1266" s="3" t="str">
        <f>"21342019073122295198491"</f>
        <v>21342019073122295198491</v>
      </c>
      <c r="B1266" s="3" t="s">
        <v>6</v>
      </c>
      <c r="C1266" s="3" t="str">
        <f>"王慧珍"</f>
        <v>王慧珍</v>
      </c>
      <c r="D1266" s="3" t="str">
        <f t="shared" si="20"/>
        <v>女</v>
      </c>
      <c r="E1266" s="3" t="str">
        <f>"1991-01-12"</f>
        <v>1991-01-12</v>
      </c>
    </row>
    <row r="1267" spans="1:5" s="4" customFormat="1" ht="18" customHeight="1">
      <c r="A1267" s="3" t="str">
        <f>"21342019073122360898496"</f>
        <v>21342019073122360898496</v>
      </c>
      <c r="B1267" s="3" t="s">
        <v>6</v>
      </c>
      <c r="C1267" s="3" t="str">
        <f>"陈泰茜"</f>
        <v>陈泰茜</v>
      </c>
      <c r="D1267" s="3" t="str">
        <f t="shared" si="20"/>
        <v>女</v>
      </c>
      <c r="E1267" s="3" t="str">
        <f>"1992-04-02"</f>
        <v>1992-04-02</v>
      </c>
    </row>
    <row r="1268" spans="1:5" s="4" customFormat="1" ht="18" customHeight="1">
      <c r="A1268" s="3" t="str">
        <f>"21342019073122503198504"</f>
        <v>21342019073122503198504</v>
      </c>
      <c r="B1268" s="3" t="s">
        <v>6</v>
      </c>
      <c r="C1268" s="3" t="str">
        <f>"蔡移"</f>
        <v>蔡移</v>
      </c>
      <c r="D1268" s="3" t="str">
        <f t="shared" si="20"/>
        <v>女</v>
      </c>
      <c r="E1268" s="3" t="str">
        <f>"1995-04-10"</f>
        <v>1995-04-10</v>
      </c>
    </row>
    <row r="1269" spans="1:5" s="4" customFormat="1" ht="18" customHeight="1">
      <c r="A1269" s="3" t="str">
        <f>"21342019073122512598507"</f>
        <v>21342019073122512598507</v>
      </c>
      <c r="B1269" s="3" t="s">
        <v>6</v>
      </c>
      <c r="C1269" s="3" t="str">
        <f>"刘秀风"</f>
        <v>刘秀风</v>
      </c>
      <c r="D1269" s="3" t="str">
        <f t="shared" si="20"/>
        <v>女</v>
      </c>
      <c r="E1269" s="3" t="str">
        <f>"1994-05-06"</f>
        <v>1994-05-06</v>
      </c>
    </row>
    <row r="1270" spans="1:5" s="4" customFormat="1" ht="18" customHeight="1">
      <c r="A1270" s="3" t="str">
        <f>"21342019073123005598513"</f>
        <v>21342019073123005598513</v>
      </c>
      <c r="B1270" s="3" t="s">
        <v>6</v>
      </c>
      <c r="C1270" s="3" t="str">
        <f>"符露媚"</f>
        <v>符露媚</v>
      </c>
      <c r="D1270" s="3" t="str">
        <f t="shared" si="20"/>
        <v>女</v>
      </c>
      <c r="E1270" s="3" t="str">
        <f>"1989-12-09"</f>
        <v>1989-12-09</v>
      </c>
    </row>
    <row r="1271" spans="1:5" s="4" customFormat="1" ht="18" customHeight="1">
      <c r="A1271" s="3" t="str">
        <f>"21342019073123021598515"</f>
        <v>21342019073123021598515</v>
      </c>
      <c r="B1271" s="3" t="s">
        <v>6</v>
      </c>
      <c r="C1271" s="3" t="str">
        <f>"陈婆德"</f>
        <v>陈婆德</v>
      </c>
      <c r="D1271" s="3" t="str">
        <f t="shared" si="20"/>
        <v>女</v>
      </c>
      <c r="E1271" s="3" t="str">
        <f>"1990-05-06"</f>
        <v>1990-05-06</v>
      </c>
    </row>
    <row r="1272" spans="1:5" s="4" customFormat="1" ht="18" customHeight="1">
      <c r="A1272" s="3" t="str">
        <f>"21342019073123255898525"</f>
        <v>21342019073123255898525</v>
      </c>
      <c r="B1272" s="3" t="s">
        <v>6</v>
      </c>
      <c r="C1272" s="3" t="str">
        <f>"陈艳莹"</f>
        <v>陈艳莹</v>
      </c>
      <c r="D1272" s="3" t="str">
        <f t="shared" si="20"/>
        <v>女</v>
      </c>
      <c r="E1272" s="3" t="str">
        <f>"1996-06-30"</f>
        <v>1996-06-30</v>
      </c>
    </row>
    <row r="1273" spans="1:5" s="4" customFormat="1" ht="18" customHeight="1">
      <c r="A1273" s="3" t="str">
        <f>"21342019073123341698526"</f>
        <v>21342019073123341698526</v>
      </c>
      <c r="B1273" s="3" t="s">
        <v>6</v>
      </c>
      <c r="C1273" s="3" t="str">
        <f>"李丽荣"</f>
        <v>李丽荣</v>
      </c>
      <c r="D1273" s="3" t="str">
        <f t="shared" si="20"/>
        <v>女</v>
      </c>
      <c r="E1273" s="3" t="str">
        <f>"1994-11-06"</f>
        <v>1994-11-06</v>
      </c>
    </row>
    <row r="1274" spans="1:5" s="4" customFormat="1" ht="18" customHeight="1">
      <c r="A1274" s="3" t="str">
        <f>"21342019080100243798533"</f>
        <v>21342019080100243798533</v>
      </c>
      <c r="B1274" s="3" t="s">
        <v>6</v>
      </c>
      <c r="C1274" s="3" t="str">
        <f>"黄金鑫"</f>
        <v>黄金鑫</v>
      </c>
      <c r="D1274" s="3" t="str">
        <f t="shared" si="20"/>
        <v>女</v>
      </c>
      <c r="E1274" s="3" t="str">
        <f>"1991-04-10"</f>
        <v>1991-04-10</v>
      </c>
    </row>
    <row r="1275" spans="1:5" s="4" customFormat="1" ht="18" customHeight="1">
      <c r="A1275" s="3" t="str">
        <f>"21342019080100343098534"</f>
        <v>21342019080100343098534</v>
      </c>
      <c r="B1275" s="3" t="s">
        <v>6</v>
      </c>
      <c r="C1275" s="3" t="str">
        <f>"王慧静"</f>
        <v>王慧静</v>
      </c>
      <c r="D1275" s="3" t="str">
        <f t="shared" si="20"/>
        <v>女</v>
      </c>
      <c r="E1275" s="3" t="str">
        <f>"1993-04-28"</f>
        <v>1993-04-28</v>
      </c>
    </row>
    <row r="1276" spans="1:5" s="4" customFormat="1" ht="18" customHeight="1">
      <c r="A1276" s="3" t="str">
        <f>"21342019080108431498579"</f>
        <v>21342019080108431498579</v>
      </c>
      <c r="B1276" s="3" t="s">
        <v>6</v>
      </c>
      <c r="C1276" s="3" t="str">
        <f>"邓碧云"</f>
        <v>邓碧云</v>
      </c>
      <c r="D1276" s="3" t="str">
        <f t="shared" si="20"/>
        <v>女</v>
      </c>
      <c r="E1276" s="3" t="str">
        <f>"1994-05-12"</f>
        <v>1994-05-12</v>
      </c>
    </row>
    <row r="1277" spans="1:5" s="4" customFormat="1" ht="18" customHeight="1">
      <c r="A1277" s="3" t="str">
        <f>"21342019080108483498586"</f>
        <v>21342019080108483498586</v>
      </c>
      <c r="B1277" s="3" t="s">
        <v>6</v>
      </c>
      <c r="C1277" s="3" t="str">
        <f>"郭振莲"</f>
        <v>郭振莲</v>
      </c>
      <c r="D1277" s="3" t="str">
        <f t="shared" si="20"/>
        <v>女</v>
      </c>
      <c r="E1277" s="3" t="str">
        <f>"1995-05-05"</f>
        <v>1995-05-05</v>
      </c>
    </row>
    <row r="1278" spans="1:5" s="4" customFormat="1" ht="18" customHeight="1">
      <c r="A1278" s="3" t="str">
        <f>"21342019080108530698593"</f>
        <v>21342019080108530698593</v>
      </c>
      <c r="B1278" s="3" t="s">
        <v>6</v>
      </c>
      <c r="C1278" s="3" t="str">
        <f>"林秋蕊"</f>
        <v>林秋蕊</v>
      </c>
      <c r="D1278" s="3" t="str">
        <f t="shared" si="20"/>
        <v>女</v>
      </c>
      <c r="E1278" s="3" t="str">
        <f>"1993-11-13"</f>
        <v>1993-11-13</v>
      </c>
    </row>
    <row r="1279" spans="1:5" s="4" customFormat="1" ht="18" customHeight="1">
      <c r="A1279" s="3" t="str">
        <f>"21342019080109110598619"</f>
        <v>21342019080109110598619</v>
      </c>
      <c r="B1279" s="3" t="s">
        <v>6</v>
      </c>
      <c r="C1279" s="3" t="str">
        <f>"曾霜苗"</f>
        <v>曾霜苗</v>
      </c>
      <c r="D1279" s="3" t="str">
        <f t="shared" si="20"/>
        <v>女</v>
      </c>
      <c r="E1279" s="3" t="str">
        <f>"1994-10-13"</f>
        <v>1994-10-13</v>
      </c>
    </row>
    <row r="1280" spans="1:5" s="4" customFormat="1" ht="18" customHeight="1">
      <c r="A1280" s="3" t="str">
        <f>"21342019080109233398647"</f>
        <v>21342019080109233398647</v>
      </c>
      <c r="B1280" s="3" t="s">
        <v>6</v>
      </c>
      <c r="C1280" s="3" t="str">
        <f>"孙卓美"</f>
        <v>孙卓美</v>
      </c>
      <c r="D1280" s="3" t="str">
        <f t="shared" si="20"/>
        <v>女</v>
      </c>
      <c r="E1280" s="3" t="str">
        <f>"1994-06-24"</f>
        <v>1994-06-24</v>
      </c>
    </row>
    <row r="1281" spans="1:5" s="4" customFormat="1" ht="18" customHeight="1">
      <c r="A1281" s="3" t="str">
        <f>"21342019080110050398718"</f>
        <v>21342019080110050398718</v>
      </c>
      <c r="B1281" s="3" t="s">
        <v>6</v>
      </c>
      <c r="C1281" s="3" t="str">
        <f>"王帅玲"</f>
        <v>王帅玲</v>
      </c>
      <c r="D1281" s="3" t="str">
        <f t="shared" si="20"/>
        <v>女</v>
      </c>
      <c r="E1281" s="3" t="str">
        <f>"1995-02-26"</f>
        <v>1995-02-26</v>
      </c>
    </row>
    <row r="1282" spans="1:5" s="4" customFormat="1" ht="18" customHeight="1">
      <c r="A1282" s="3" t="str">
        <f>"21342019080110210598748"</f>
        <v>21342019080110210598748</v>
      </c>
      <c r="B1282" s="3" t="s">
        <v>6</v>
      </c>
      <c r="C1282" s="3" t="str">
        <f>"周燕琼"</f>
        <v>周燕琼</v>
      </c>
      <c r="D1282" s="3" t="str">
        <f t="shared" si="20"/>
        <v>女</v>
      </c>
      <c r="E1282" s="3" t="str">
        <f>"1991-02-19"</f>
        <v>1991-02-19</v>
      </c>
    </row>
    <row r="1283" spans="1:5" s="4" customFormat="1" ht="18" customHeight="1">
      <c r="A1283" s="3" t="str">
        <f>"21342019080110260698756"</f>
        <v>21342019080110260698756</v>
      </c>
      <c r="B1283" s="3" t="s">
        <v>6</v>
      </c>
      <c r="C1283" s="3" t="str">
        <f>"符琳"</f>
        <v>符琳</v>
      </c>
      <c r="D1283" s="3" t="str">
        <f t="shared" si="20"/>
        <v>女</v>
      </c>
      <c r="E1283" s="3" t="str">
        <f>"1998-06-24"</f>
        <v>1998-06-24</v>
      </c>
    </row>
    <row r="1284" spans="1:5" s="4" customFormat="1" ht="18" customHeight="1">
      <c r="A1284" s="3" t="str">
        <f>"21342019080110294598761"</f>
        <v>21342019080110294598761</v>
      </c>
      <c r="B1284" s="3" t="s">
        <v>6</v>
      </c>
      <c r="C1284" s="3" t="str">
        <f>"王红妹"</f>
        <v>王红妹</v>
      </c>
      <c r="D1284" s="3" t="str">
        <f t="shared" si="20"/>
        <v>女</v>
      </c>
      <c r="E1284" s="3" t="str">
        <f>"1993-12-03"</f>
        <v>1993-12-03</v>
      </c>
    </row>
    <row r="1285" spans="1:5" s="4" customFormat="1" ht="18" customHeight="1">
      <c r="A1285" s="3" t="str">
        <f>"21342019080110400598779"</f>
        <v>21342019080110400598779</v>
      </c>
      <c r="B1285" s="3" t="s">
        <v>6</v>
      </c>
      <c r="C1285" s="3" t="str">
        <f>"陈冬梅"</f>
        <v>陈冬梅</v>
      </c>
      <c r="D1285" s="3" t="str">
        <f t="shared" si="20"/>
        <v>女</v>
      </c>
      <c r="E1285" s="3" t="str">
        <f>"1994-12-09"</f>
        <v>1994-12-09</v>
      </c>
    </row>
    <row r="1286" spans="1:5" s="4" customFormat="1" ht="18" customHeight="1">
      <c r="A1286" s="3" t="str">
        <f>"21342019080110434598782"</f>
        <v>21342019080110434598782</v>
      </c>
      <c r="B1286" s="3" t="s">
        <v>6</v>
      </c>
      <c r="C1286" s="3" t="str">
        <f>"羊高颖"</f>
        <v>羊高颖</v>
      </c>
      <c r="D1286" s="3" t="str">
        <f t="shared" si="20"/>
        <v>女</v>
      </c>
      <c r="E1286" s="3" t="str">
        <f>"1998-03-19"</f>
        <v>1998-03-19</v>
      </c>
    </row>
    <row r="1287" spans="1:5" s="4" customFormat="1" ht="18" customHeight="1">
      <c r="A1287" s="3" t="str">
        <f>"21342019080110505098793"</f>
        <v>21342019080110505098793</v>
      </c>
      <c r="B1287" s="3" t="s">
        <v>6</v>
      </c>
      <c r="C1287" s="3" t="str">
        <f>"李少妮"</f>
        <v>李少妮</v>
      </c>
      <c r="D1287" s="3" t="str">
        <f t="shared" si="20"/>
        <v>女</v>
      </c>
      <c r="E1287" s="3" t="str">
        <f>"1996-03-27"</f>
        <v>1996-03-27</v>
      </c>
    </row>
    <row r="1288" spans="1:5" s="4" customFormat="1" ht="18" customHeight="1">
      <c r="A1288" s="3" t="str">
        <f>"21342019080111072698811"</f>
        <v>21342019080111072698811</v>
      </c>
      <c r="B1288" s="3" t="s">
        <v>6</v>
      </c>
      <c r="C1288" s="3" t="str">
        <f>"翁小婷"</f>
        <v>翁小婷</v>
      </c>
      <c r="D1288" s="3" t="str">
        <f t="shared" si="20"/>
        <v>女</v>
      </c>
      <c r="E1288" s="3" t="str">
        <f>"1993-04-30"</f>
        <v>1993-04-30</v>
      </c>
    </row>
    <row r="1289" spans="1:5" s="4" customFormat="1" ht="18" customHeight="1">
      <c r="A1289" s="3" t="str">
        <f>"21342019080111151998819"</f>
        <v>21342019080111151998819</v>
      </c>
      <c r="B1289" s="3" t="s">
        <v>6</v>
      </c>
      <c r="C1289" s="3" t="str">
        <f>"谢南玉"</f>
        <v>谢南玉</v>
      </c>
      <c r="D1289" s="3" t="str">
        <f t="shared" si="20"/>
        <v>女</v>
      </c>
      <c r="E1289" s="3" t="str">
        <f>"1994-01-03"</f>
        <v>1994-01-03</v>
      </c>
    </row>
    <row r="1290" spans="1:5" s="4" customFormat="1" ht="18" customHeight="1">
      <c r="A1290" s="3" t="str">
        <f>"21342019080111203098826"</f>
        <v>21342019080111203098826</v>
      </c>
      <c r="B1290" s="3" t="s">
        <v>6</v>
      </c>
      <c r="C1290" s="3" t="str">
        <f>"杜春霞"</f>
        <v>杜春霞</v>
      </c>
      <c r="D1290" s="3" t="str">
        <f t="shared" si="20"/>
        <v>女</v>
      </c>
      <c r="E1290" s="3" t="str">
        <f>"1994-10-09"</f>
        <v>1994-10-09</v>
      </c>
    </row>
    <row r="1291" spans="1:5" s="4" customFormat="1" ht="18" customHeight="1">
      <c r="A1291" s="3" t="str">
        <f>"21342019080111281398833"</f>
        <v>21342019080111281398833</v>
      </c>
      <c r="B1291" s="3" t="s">
        <v>6</v>
      </c>
      <c r="C1291" s="3" t="str">
        <f>"钟海俐"</f>
        <v>钟海俐</v>
      </c>
      <c r="D1291" s="3" t="str">
        <f t="shared" si="20"/>
        <v>女</v>
      </c>
      <c r="E1291" s="3" t="str">
        <f>"1992-12-07"</f>
        <v>1992-12-07</v>
      </c>
    </row>
    <row r="1292" spans="1:5" s="4" customFormat="1" ht="18" customHeight="1">
      <c r="A1292" s="3" t="str">
        <f>"21342019080111301798834"</f>
        <v>21342019080111301798834</v>
      </c>
      <c r="B1292" s="3" t="s">
        <v>6</v>
      </c>
      <c r="C1292" s="3" t="str">
        <f>"孙爱芳"</f>
        <v>孙爱芳</v>
      </c>
      <c r="D1292" s="3" t="str">
        <f t="shared" si="20"/>
        <v>女</v>
      </c>
      <c r="E1292" s="3" t="str">
        <f>"1993-03-08"</f>
        <v>1993-03-08</v>
      </c>
    </row>
    <row r="1293" spans="1:5" s="4" customFormat="1" ht="18" customHeight="1">
      <c r="A1293" s="3" t="str">
        <f>"21342019080111315598835"</f>
        <v>21342019080111315598835</v>
      </c>
      <c r="B1293" s="3" t="s">
        <v>6</v>
      </c>
      <c r="C1293" s="3" t="str">
        <f>"王金玲"</f>
        <v>王金玲</v>
      </c>
      <c r="D1293" s="3" t="str">
        <f t="shared" si="20"/>
        <v>女</v>
      </c>
      <c r="E1293" s="3" t="str">
        <f>"1993-08-04"</f>
        <v>1993-08-04</v>
      </c>
    </row>
    <row r="1294" spans="1:5" s="4" customFormat="1" ht="18" customHeight="1">
      <c r="A1294" s="3" t="str">
        <f>"21342019080111522998850"</f>
        <v>21342019080111522998850</v>
      </c>
      <c r="B1294" s="3" t="s">
        <v>6</v>
      </c>
      <c r="C1294" s="3" t="str">
        <f>"黄秋欣"</f>
        <v>黄秋欣</v>
      </c>
      <c r="D1294" s="3" t="str">
        <f t="shared" si="20"/>
        <v>女</v>
      </c>
      <c r="E1294" s="3" t="str">
        <f>"1993-01-05"</f>
        <v>1993-01-05</v>
      </c>
    </row>
    <row r="1295" spans="1:5" s="4" customFormat="1" ht="18" customHeight="1">
      <c r="A1295" s="3" t="str">
        <f>"21342019080112011098854"</f>
        <v>21342019080112011098854</v>
      </c>
      <c r="B1295" s="3" t="s">
        <v>6</v>
      </c>
      <c r="C1295" s="3" t="str">
        <f>"高瑜媚"</f>
        <v>高瑜媚</v>
      </c>
      <c r="D1295" s="3" t="str">
        <f t="shared" si="20"/>
        <v>女</v>
      </c>
      <c r="E1295" s="3" t="str">
        <f>"1991-09-01"</f>
        <v>1991-09-01</v>
      </c>
    </row>
    <row r="1296" spans="1:5" s="4" customFormat="1" ht="18" customHeight="1">
      <c r="A1296" s="3" t="str">
        <f>"21342019080112093998858"</f>
        <v>21342019080112093998858</v>
      </c>
      <c r="B1296" s="3" t="s">
        <v>6</v>
      </c>
      <c r="C1296" s="3" t="str">
        <f>"符送甘"</f>
        <v>符送甘</v>
      </c>
      <c r="D1296" s="3" t="str">
        <f t="shared" si="20"/>
        <v>女</v>
      </c>
      <c r="E1296" s="3" t="str">
        <f>"1994-05-02"</f>
        <v>1994-05-02</v>
      </c>
    </row>
    <row r="1297" spans="1:5" s="4" customFormat="1" ht="18" customHeight="1">
      <c r="A1297" s="3" t="str">
        <f>"21342019080112214598868"</f>
        <v>21342019080112214598868</v>
      </c>
      <c r="B1297" s="3" t="s">
        <v>6</v>
      </c>
      <c r="C1297" s="3" t="str">
        <f>"薛显香"</f>
        <v>薛显香</v>
      </c>
      <c r="D1297" s="3" t="str">
        <f t="shared" si="20"/>
        <v>女</v>
      </c>
      <c r="E1297" s="3" t="str">
        <f>"1994-03-15"</f>
        <v>1994-03-15</v>
      </c>
    </row>
    <row r="1298" spans="1:5" s="4" customFormat="1" ht="18" customHeight="1">
      <c r="A1298" s="3" t="str">
        <f>"21342019080112343998880"</f>
        <v>21342019080112343998880</v>
      </c>
      <c r="B1298" s="3" t="s">
        <v>6</v>
      </c>
      <c r="C1298" s="3" t="str">
        <f>"张月珍"</f>
        <v>张月珍</v>
      </c>
      <c r="D1298" s="3" t="str">
        <f t="shared" si="20"/>
        <v>女</v>
      </c>
      <c r="E1298" s="3" t="str">
        <f>"1993-11-06"</f>
        <v>1993-11-06</v>
      </c>
    </row>
    <row r="1299" spans="1:5" s="4" customFormat="1" ht="18" customHeight="1">
      <c r="A1299" s="3" t="str">
        <f>"21342019080112475398888"</f>
        <v>21342019080112475398888</v>
      </c>
      <c r="B1299" s="3" t="s">
        <v>6</v>
      </c>
      <c r="C1299" s="3" t="str">
        <f>"卞惟芬"</f>
        <v>卞惟芬</v>
      </c>
      <c r="D1299" s="3" t="str">
        <f aca="true" t="shared" si="21" ref="D1299:D1313">"女"</f>
        <v>女</v>
      </c>
      <c r="E1299" s="3" t="str">
        <f>"1995-11-29"</f>
        <v>1995-11-29</v>
      </c>
    </row>
    <row r="1300" spans="1:5" s="4" customFormat="1" ht="18" customHeight="1">
      <c r="A1300" s="3" t="str">
        <f>"21342019080112492998889"</f>
        <v>21342019080112492998889</v>
      </c>
      <c r="B1300" s="3" t="s">
        <v>6</v>
      </c>
      <c r="C1300" s="3" t="str">
        <f>"杨忠洁"</f>
        <v>杨忠洁</v>
      </c>
      <c r="D1300" s="3" t="str">
        <f t="shared" si="21"/>
        <v>女</v>
      </c>
      <c r="E1300" s="3" t="str">
        <f>"1995-08-10"</f>
        <v>1995-08-10</v>
      </c>
    </row>
    <row r="1301" spans="1:5" s="4" customFormat="1" ht="18" customHeight="1">
      <c r="A1301" s="3" t="str">
        <f>"21342019080112540298892"</f>
        <v>21342019080112540298892</v>
      </c>
      <c r="B1301" s="3" t="s">
        <v>6</v>
      </c>
      <c r="C1301" s="3" t="str">
        <f>"李金陆"</f>
        <v>李金陆</v>
      </c>
      <c r="D1301" s="3" t="str">
        <f t="shared" si="21"/>
        <v>女</v>
      </c>
      <c r="E1301" s="3" t="str">
        <f>"1994-10-01"</f>
        <v>1994-10-01</v>
      </c>
    </row>
    <row r="1302" spans="1:5" s="4" customFormat="1" ht="18" customHeight="1">
      <c r="A1302" s="3" t="str">
        <f>"21342019080113161098915"</f>
        <v>21342019080113161098915</v>
      </c>
      <c r="B1302" s="3" t="s">
        <v>6</v>
      </c>
      <c r="C1302" s="3" t="str">
        <f>"陈丹薇"</f>
        <v>陈丹薇</v>
      </c>
      <c r="D1302" s="3" t="str">
        <f t="shared" si="21"/>
        <v>女</v>
      </c>
      <c r="E1302" s="3" t="str">
        <f>"1989-09-03"</f>
        <v>1989-09-03</v>
      </c>
    </row>
    <row r="1303" spans="1:5" s="4" customFormat="1" ht="18" customHeight="1">
      <c r="A1303" s="3" t="str">
        <f>"21342019080113392498929"</f>
        <v>21342019080113392498929</v>
      </c>
      <c r="B1303" s="3" t="s">
        <v>6</v>
      </c>
      <c r="C1303" s="3" t="str">
        <f>"蔡燕清"</f>
        <v>蔡燕清</v>
      </c>
      <c r="D1303" s="3" t="str">
        <f t="shared" si="21"/>
        <v>女</v>
      </c>
      <c r="E1303" s="3" t="str">
        <f>"1989-11-21"</f>
        <v>1989-11-21</v>
      </c>
    </row>
    <row r="1304" spans="1:5" s="4" customFormat="1" ht="18" customHeight="1">
      <c r="A1304" s="3" t="str">
        <f>"21342019080113501398935"</f>
        <v>21342019080113501398935</v>
      </c>
      <c r="B1304" s="3" t="s">
        <v>6</v>
      </c>
      <c r="C1304" s="3" t="str">
        <f>"陈石女"</f>
        <v>陈石女</v>
      </c>
      <c r="D1304" s="3" t="str">
        <f t="shared" si="21"/>
        <v>女</v>
      </c>
      <c r="E1304" s="3" t="str">
        <f>"1995-05-11"</f>
        <v>1995-05-11</v>
      </c>
    </row>
    <row r="1305" spans="1:5" s="4" customFormat="1" ht="18" customHeight="1">
      <c r="A1305" s="3" t="str">
        <f>"21342019080113540998936"</f>
        <v>21342019080113540998936</v>
      </c>
      <c r="B1305" s="3" t="s">
        <v>6</v>
      </c>
      <c r="C1305" s="3" t="str">
        <f>"王少莉"</f>
        <v>王少莉</v>
      </c>
      <c r="D1305" s="3" t="str">
        <f t="shared" si="21"/>
        <v>女</v>
      </c>
      <c r="E1305" s="3" t="str">
        <f>"1990-02-10"</f>
        <v>1990-02-10</v>
      </c>
    </row>
    <row r="1306" spans="1:5" s="4" customFormat="1" ht="18" customHeight="1">
      <c r="A1306" s="3" t="str">
        <f>"21342019080113555598938"</f>
        <v>21342019080113555598938</v>
      </c>
      <c r="B1306" s="3" t="s">
        <v>6</v>
      </c>
      <c r="C1306" s="3" t="str">
        <f>"苏美桃"</f>
        <v>苏美桃</v>
      </c>
      <c r="D1306" s="3" t="str">
        <f t="shared" si="21"/>
        <v>女</v>
      </c>
      <c r="E1306" s="3" t="str">
        <f>"1995-11-08"</f>
        <v>1995-11-08</v>
      </c>
    </row>
    <row r="1307" spans="1:5" s="4" customFormat="1" ht="18" customHeight="1">
      <c r="A1307" s="3" t="str">
        <f>"21342019080113595398939"</f>
        <v>21342019080113595398939</v>
      </c>
      <c r="B1307" s="3" t="s">
        <v>6</v>
      </c>
      <c r="C1307" s="3" t="str">
        <f>"黄芳"</f>
        <v>黄芳</v>
      </c>
      <c r="D1307" s="3" t="str">
        <f t="shared" si="21"/>
        <v>女</v>
      </c>
      <c r="E1307" s="3" t="str">
        <f>"1996-12-19"</f>
        <v>1996-12-19</v>
      </c>
    </row>
    <row r="1308" spans="1:5" s="4" customFormat="1" ht="18" customHeight="1">
      <c r="A1308" s="3" t="str">
        <f>"21342019080114280198957"</f>
        <v>21342019080114280198957</v>
      </c>
      <c r="B1308" s="3" t="s">
        <v>6</v>
      </c>
      <c r="C1308" s="3" t="str">
        <f>"王亚丽"</f>
        <v>王亚丽</v>
      </c>
      <c r="D1308" s="3" t="str">
        <f t="shared" si="21"/>
        <v>女</v>
      </c>
      <c r="E1308" s="3" t="str">
        <f>"1992-12-22"</f>
        <v>1992-12-22</v>
      </c>
    </row>
    <row r="1309" spans="1:5" s="4" customFormat="1" ht="18" customHeight="1">
      <c r="A1309" s="3" t="str">
        <f>"21342019080114324598961"</f>
        <v>21342019080114324598961</v>
      </c>
      <c r="B1309" s="3" t="s">
        <v>6</v>
      </c>
      <c r="C1309" s="3" t="str">
        <f>"陈艳丁"</f>
        <v>陈艳丁</v>
      </c>
      <c r="D1309" s="3" t="str">
        <f t="shared" si="21"/>
        <v>女</v>
      </c>
      <c r="E1309" s="3" t="str">
        <f>"1992-01-30"</f>
        <v>1992-01-30</v>
      </c>
    </row>
    <row r="1310" spans="1:5" s="4" customFormat="1" ht="18" customHeight="1">
      <c r="A1310" s="3" t="str">
        <f>"21342019080114384698965"</f>
        <v>21342019080114384698965</v>
      </c>
      <c r="B1310" s="3" t="s">
        <v>6</v>
      </c>
      <c r="C1310" s="3" t="str">
        <f>"梁美春"</f>
        <v>梁美春</v>
      </c>
      <c r="D1310" s="3" t="str">
        <f t="shared" si="21"/>
        <v>女</v>
      </c>
      <c r="E1310" s="3" t="str">
        <f>"1990-05-04"</f>
        <v>1990-05-04</v>
      </c>
    </row>
    <row r="1311" spans="1:5" s="4" customFormat="1" ht="18" customHeight="1">
      <c r="A1311" s="3" t="str">
        <f>"21342019080114581198981"</f>
        <v>21342019080114581198981</v>
      </c>
      <c r="B1311" s="3" t="s">
        <v>6</v>
      </c>
      <c r="C1311" s="3" t="str">
        <f>"王祎"</f>
        <v>王祎</v>
      </c>
      <c r="D1311" s="3" t="str">
        <f t="shared" si="21"/>
        <v>女</v>
      </c>
      <c r="E1311" s="3" t="str">
        <f>"1993-06-08"</f>
        <v>1993-06-08</v>
      </c>
    </row>
    <row r="1312" spans="1:5" s="4" customFormat="1" ht="18" customHeight="1">
      <c r="A1312" s="3" t="str">
        <f>"21342019080115024598985"</f>
        <v>21342019080115024598985</v>
      </c>
      <c r="B1312" s="3" t="s">
        <v>6</v>
      </c>
      <c r="C1312" s="3" t="str">
        <f>"林怡"</f>
        <v>林怡</v>
      </c>
      <c r="D1312" s="3" t="str">
        <f t="shared" si="21"/>
        <v>女</v>
      </c>
      <c r="E1312" s="3" t="str">
        <f>"1992-04-18"</f>
        <v>1992-04-18</v>
      </c>
    </row>
    <row r="1313" spans="1:5" s="4" customFormat="1" ht="18" customHeight="1">
      <c r="A1313" s="3" t="str">
        <f>"21342019080115051498990"</f>
        <v>21342019080115051498990</v>
      </c>
      <c r="B1313" s="3" t="s">
        <v>6</v>
      </c>
      <c r="C1313" s="3" t="str">
        <f>"林琼"</f>
        <v>林琼</v>
      </c>
      <c r="D1313" s="3" t="str">
        <f t="shared" si="21"/>
        <v>女</v>
      </c>
      <c r="E1313" s="3" t="str">
        <f>"1990-08-10"</f>
        <v>1990-08-10</v>
      </c>
    </row>
    <row r="1314" spans="1:5" s="4" customFormat="1" ht="18" customHeight="1">
      <c r="A1314" s="3" t="str">
        <f>"21342019080115065398992"</f>
        <v>21342019080115065398992</v>
      </c>
      <c r="B1314" s="3" t="s">
        <v>6</v>
      </c>
      <c r="C1314" s="3">
        <f>""</f>
      </c>
      <c r="D1314" s="3">
        <f>""</f>
      </c>
      <c r="E1314" s="3">
        <f>""</f>
      </c>
    </row>
    <row r="1315" spans="1:5" s="4" customFormat="1" ht="18" customHeight="1">
      <c r="A1315" s="3" t="str">
        <f>"21342019080115093898998"</f>
        <v>21342019080115093898998</v>
      </c>
      <c r="B1315" s="3" t="s">
        <v>6</v>
      </c>
      <c r="C1315" s="3" t="str">
        <f>"吉财丽"</f>
        <v>吉财丽</v>
      </c>
      <c r="D1315" s="3" t="str">
        <f aca="true" t="shared" si="22" ref="D1315:D1378">"女"</f>
        <v>女</v>
      </c>
      <c r="E1315" s="3" t="str">
        <f>"1995-04-27"</f>
        <v>1995-04-27</v>
      </c>
    </row>
    <row r="1316" spans="1:5" s="4" customFormat="1" ht="18" customHeight="1">
      <c r="A1316" s="3" t="str">
        <f>"21342019080115123699002"</f>
        <v>21342019080115123699002</v>
      </c>
      <c r="B1316" s="3" t="s">
        <v>6</v>
      </c>
      <c r="C1316" s="3" t="str">
        <f>"曾海漫"</f>
        <v>曾海漫</v>
      </c>
      <c r="D1316" s="3" t="str">
        <f t="shared" si="22"/>
        <v>女</v>
      </c>
      <c r="E1316" s="3" t="str">
        <f>"1996-12-12"</f>
        <v>1996-12-12</v>
      </c>
    </row>
    <row r="1317" spans="1:5" s="4" customFormat="1" ht="18" customHeight="1">
      <c r="A1317" s="3" t="str">
        <f>"21342019080115181599005"</f>
        <v>21342019080115181599005</v>
      </c>
      <c r="B1317" s="3" t="s">
        <v>6</v>
      </c>
      <c r="C1317" s="3" t="str">
        <f>"林冰"</f>
        <v>林冰</v>
      </c>
      <c r="D1317" s="3" t="str">
        <f t="shared" si="22"/>
        <v>女</v>
      </c>
      <c r="E1317" s="3" t="str">
        <f>"1991-06-01"</f>
        <v>1991-06-01</v>
      </c>
    </row>
    <row r="1318" spans="1:5" s="4" customFormat="1" ht="18" customHeight="1">
      <c r="A1318" s="3" t="str">
        <f>"21342019080115243699012"</f>
        <v>21342019080115243699012</v>
      </c>
      <c r="B1318" s="3" t="s">
        <v>6</v>
      </c>
      <c r="C1318" s="3" t="str">
        <f>"张丽坚"</f>
        <v>张丽坚</v>
      </c>
      <c r="D1318" s="3" t="str">
        <f t="shared" si="22"/>
        <v>女</v>
      </c>
      <c r="E1318" s="3" t="str">
        <f>"1994-01-21"</f>
        <v>1994-01-21</v>
      </c>
    </row>
    <row r="1319" spans="1:5" s="4" customFormat="1" ht="18" customHeight="1">
      <c r="A1319" s="3" t="str">
        <f>"21342019080115335399021"</f>
        <v>21342019080115335399021</v>
      </c>
      <c r="B1319" s="3" t="s">
        <v>6</v>
      </c>
      <c r="C1319" s="3" t="str">
        <f>"符得乾"</f>
        <v>符得乾</v>
      </c>
      <c r="D1319" s="3" t="str">
        <f t="shared" si="22"/>
        <v>女</v>
      </c>
      <c r="E1319" s="3" t="str">
        <f>"1994-12-19"</f>
        <v>1994-12-19</v>
      </c>
    </row>
    <row r="1320" spans="1:5" s="4" customFormat="1" ht="18" customHeight="1">
      <c r="A1320" s="3" t="str">
        <f>"21342019080115351899024"</f>
        <v>21342019080115351899024</v>
      </c>
      <c r="B1320" s="3" t="s">
        <v>6</v>
      </c>
      <c r="C1320" s="3" t="str">
        <f>"符小咪"</f>
        <v>符小咪</v>
      </c>
      <c r="D1320" s="3" t="str">
        <f t="shared" si="22"/>
        <v>女</v>
      </c>
      <c r="E1320" s="3" t="str">
        <f>"1993-11-18"</f>
        <v>1993-11-18</v>
      </c>
    </row>
    <row r="1321" spans="1:5" s="4" customFormat="1" ht="18" customHeight="1">
      <c r="A1321" s="3" t="str">
        <f>"21342019080115522199043"</f>
        <v>21342019080115522199043</v>
      </c>
      <c r="B1321" s="3" t="s">
        <v>6</v>
      </c>
      <c r="C1321" s="3" t="str">
        <f>"陈菊玲"</f>
        <v>陈菊玲</v>
      </c>
      <c r="D1321" s="3" t="str">
        <f t="shared" si="22"/>
        <v>女</v>
      </c>
      <c r="E1321" s="3" t="str">
        <f>"1995-04-10"</f>
        <v>1995-04-10</v>
      </c>
    </row>
    <row r="1322" spans="1:5" s="4" customFormat="1" ht="18" customHeight="1">
      <c r="A1322" s="3" t="str">
        <f>"21342019080116242799065"</f>
        <v>21342019080116242799065</v>
      </c>
      <c r="B1322" s="3" t="s">
        <v>6</v>
      </c>
      <c r="C1322" s="3" t="str">
        <f>"何淑精"</f>
        <v>何淑精</v>
      </c>
      <c r="D1322" s="3" t="str">
        <f t="shared" si="22"/>
        <v>女</v>
      </c>
      <c r="E1322" s="3" t="str">
        <f>"1995-10-17"</f>
        <v>1995-10-17</v>
      </c>
    </row>
    <row r="1323" spans="1:5" s="4" customFormat="1" ht="18" customHeight="1">
      <c r="A1323" s="3" t="str">
        <f>"21342019080116293199071"</f>
        <v>21342019080116293199071</v>
      </c>
      <c r="B1323" s="3" t="s">
        <v>6</v>
      </c>
      <c r="C1323" s="3" t="str">
        <f>"谢莹"</f>
        <v>谢莹</v>
      </c>
      <c r="D1323" s="3" t="str">
        <f t="shared" si="22"/>
        <v>女</v>
      </c>
      <c r="E1323" s="3" t="str">
        <f>"1996-08-12"</f>
        <v>1996-08-12</v>
      </c>
    </row>
    <row r="1324" spans="1:5" s="4" customFormat="1" ht="18" customHeight="1">
      <c r="A1324" s="3" t="str">
        <f>"21342019080116372299078"</f>
        <v>21342019080116372299078</v>
      </c>
      <c r="B1324" s="3" t="s">
        <v>6</v>
      </c>
      <c r="C1324" s="3" t="str">
        <f>"李小妹"</f>
        <v>李小妹</v>
      </c>
      <c r="D1324" s="3" t="str">
        <f t="shared" si="22"/>
        <v>女</v>
      </c>
      <c r="E1324" s="3" t="str">
        <f>"1993-01-10"</f>
        <v>1993-01-10</v>
      </c>
    </row>
    <row r="1325" spans="1:5" s="4" customFormat="1" ht="18" customHeight="1">
      <c r="A1325" s="3" t="str">
        <f>"21342019080116562199101"</f>
        <v>21342019080116562199101</v>
      </c>
      <c r="B1325" s="3" t="s">
        <v>6</v>
      </c>
      <c r="C1325" s="3" t="str">
        <f>"陈芬"</f>
        <v>陈芬</v>
      </c>
      <c r="D1325" s="3" t="str">
        <f t="shared" si="22"/>
        <v>女</v>
      </c>
      <c r="E1325" s="3" t="str">
        <f>"1994-07-10"</f>
        <v>1994-07-10</v>
      </c>
    </row>
    <row r="1326" spans="1:5" s="4" customFormat="1" ht="18" customHeight="1">
      <c r="A1326" s="3" t="str">
        <f>"21342019080117223199131"</f>
        <v>21342019080117223199131</v>
      </c>
      <c r="B1326" s="3" t="s">
        <v>6</v>
      </c>
      <c r="C1326" s="3" t="str">
        <f>"张小琴"</f>
        <v>张小琴</v>
      </c>
      <c r="D1326" s="3" t="str">
        <f t="shared" si="22"/>
        <v>女</v>
      </c>
      <c r="E1326" s="3" t="str">
        <f>"1997-09-16"</f>
        <v>1997-09-16</v>
      </c>
    </row>
    <row r="1327" spans="1:5" s="4" customFormat="1" ht="18" customHeight="1">
      <c r="A1327" s="3" t="str">
        <f>"21342019080117260699137"</f>
        <v>21342019080117260699137</v>
      </c>
      <c r="B1327" s="3" t="s">
        <v>6</v>
      </c>
      <c r="C1327" s="3" t="str">
        <f>"陈秀娥"</f>
        <v>陈秀娥</v>
      </c>
      <c r="D1327" s="3" t="str">
        <f t="shared" si="22"/>
        <v>女</v>
      </c>
      <c r="E1327" s="3" t="str">
        <f>"1993-02-06"</f>
        <v>1993-02-06</v>
      </c>
    </row>
    <row r="1328" spans="1:5" s="4" customFormat="1" ht="18" customHeight="1">
      <c r="A1328" s="3" t="str">
        <f>"21342019080117364399149"</f>
        <v>21342019080117364399149</v>
      </c>
      <c r="B1328" s="3" t="s">
        <v>6</v>
      </c>
      <c r="C1328" s="3" t="str">
        <f>"林丹芬"</f>
        <v>林丹芬</v>
      </c>
      <c r="D1328" s="3" t="str">
        <f t="shared" si="22"/>
        <v>女</v>
      </c>
      <c r="E1328" s="3" t="str">
        <f>"1994-07-18"</f>
        <v>1994-07-18</v>
      </c>
    </row>
    <row r="1329" spans="1:5" s="4" customFormat="1" ht="18" customHeight="1">
      <c r="A1329" s="3" t="str">
        <f>"21342019080117441599157"</f>
        <v>21342019080117441599157</v>
      </c>
      <c r="B1329" s="3" t="s">
        <v>6</v>
      </c>
      <c r="C1329" s="3" t="str">
        <f>"李维静"</f>
        <v>李维静</v>
      </c>
      <c r="D1329" s="3" t="str">
        <f t="shared" si="22"/>
        <v>女</v>
      </c>
      <c r="E1329" s="3" t="str">
        <f>"1992-08-13"</f>
        <v>1992-08-13</v>
      </c>
    </row>
    <row r="1330" spans="1:5" s="4" customFormat="1" ht="18" customHeight="1">
      <c r="A1330" s="3" t="str">
        <f>"21342019080118145499178"</f>
        <v>21342019080118145499178</v>
      </c>
      <c r="B1330" s="3" t="s">
        <v>6</v>
      </c>
      <c r="C1330" s="3" t="str">
        <f>"洪华丹"</f>
        <v>洪华丹</v>
      </c>
      <c r="D1330" s="3" t="str">
        <f t="shared" si="22"/>
        <v>女</v>
      </c>
      <c r="E1330" s="3" t="str">
        <f>"1995-07-13"</f>
        <v>1995-07-13</v>
      </c>
    </row>
    <row r="1331" spans="1:5" s="4" customFormat="1" ht="18" customHeight="1">
      <c r="A1331" s="3" t="str">
        <f>"21342019080118164799180"</f>
        <v>21342019080118164799180</v>
      </c>
      <c r="B1331" s="3" t="s">
        <v>6</v>
      </c>
      <c r="C1331" s="3" t="str">
        <f>"黎日月"</f>
        <v>黎日月</v>
      </c>
      <c r="D1331" s="3" t="str">
        <f t="shared" si="22"/>
        <v>女</v>
      </c>
      <c r="E1331" s="3" t="str">
        <f>"1992-10-18"</f>
        <v>1992-10-18</v>
      </c>
    </row>
    <row r="1332" spans="1:5" s="4" customFormat="1" ht="18" customHeight="1">
      <c r="A1332" s="3" t="str">
        <f>"21342019080118213099182"</f>
        <v>21342019080118213099182</v>
      </c>
      <c r="B1332" s="3" t="s">
        <v>6</v>
      </c>
      <c r="C1332" s="3" t="str">
        <f>"饶小梅"</f>
        <v>饶小梅</v>
      </c>
      <c r="D1332" s="3" t="str">
        <f t="shared" si="22"/>
        <v>女</v>
      </c>
      <c r="E1332" s="3" t="str">
        <f>"1994-04-30"</f>
        <v>1994-04-30</v>
      </c>
    </row>
    <row r="1333" spans="1:5" s="4" customFormat="1" ht="18" customHeight="1">
      <c r="A1333" s="3" t="str">
        <f>"21342019080118314799188"</f>
        <v>21342019080118314799188</v>
      </c>
      <c r="B1333" s="3" t="s">
        <v>6</v>
      </c>
      <c r="C1333" s="3" t="str">
        <f>"李曼"</f>
        <v>李曼</v>
      </c>
      <c r="D1333" s="3" t="str">
        <f t="shared" si="22"/>
        <v>女</v>
      </c>
      <c r="E1333" s="3" t="str">
        <f>"1994-12-07"</f>
        <v>1994-12-07</v>
      </c>
    </row>
    <row r="1334" spans="1:5" s="4" customFormat="1" ht="18" customHeight="1">
      <c r="A1334" s="3" t="str">
        <f>"21342019080118422599194"</f>
        <v>21342019080118422599194</v>
      </c>
      <c r="B1334" s="3" t="s">
        <v>6</v>
      </c>
      <c r="C1334" s="3" t="str">
        <f>"林娜"</f>
        <v>林娜</v>
      </c>
      <c r="D1334" s="3" t="str">
        <f t="shared" si="22"/>
        <v>女</v>
      </c>
      <c r="E1334" s="3" t="str">
        <f>"1993-08-26"</f>
        <v>1993-08-26</v>
      </c>
    </row>
    <row r="1335" spans="1:5" s="4" customFormat="1" ht="18" customHeight="1">
      <c r="A1335" s="3" t="str">
        <f>"21342019080118480499199"</f>
        <v>21342019080118480499199</v>
      </c>
      <c r="B1335" s="3" t="s">
        <v>6</v>
      </c>
      <c r="C1335" s="3" t="str">
        <f>"陈静"</f>
        <v>陈静</v>
      </c>
      <c r="D1335" s="3" t="str">
        <f t="shared" si="22"/>
        <v>女</v>
      </c>
      <c r="E1335" s="3" t="str">
        <f>"1996-06-30"</f>
        <v>1996-06-30</v>
      </c>
    </row>
    <row r="1336" spans="1:5" s="4" customFormat="1" ht="18" customHeight="1">
      <c r="A1336" s="3" t="str">
        <f>"21342019080119165299211"</f>
        <v>21342019080119165299211</v>
      </c>
      <c r="B1336" s="3" t="s">
        <v>6</v>
      </c>
      <c r="C1336" s="3" t="str">
        <f>"羊淑花"</f>
        <v>羊淑花</v>
      </c>
      <c r="D1336" s="3" t="str">
        <f t="shared" si="22"/>
        <v>女</v>
      </c>
      <c r="E1336" s="3" t="str">
        <f>"1994-04-08"</f>
        <v>1994-04-08</v>
      </c>
    </row>
    <row r="1337" spans="1:5" s="4" customFormat="1" ht="18" customHeight="1">
      <c r="A1337" s="3" t="str">
        <f>"21342019080119235899216"</f>
        <v>21342019080119235899216</v>
      </c>
      <c r="B1337" s="3" t="s">
        <v>6</v>
      </c>
      <c r="C1337" s="3" t="str">
        <f>"陈克慧"</f>
        <v>陈克慧</v>
      </c>
      <c r="D1337" s="3" t="str">
        <f t="shared" si="22"/>
        <v>女</v>
      </c>
      <c r="E1337" s="3" t="str">
        <f>"1993-12-20"</f>
        <v>1993-12-20</v>
      </c>
    </row>
    <row r="1338" spans="1:5" s="4" customFormat="1" ht="18" customHeight="1">
      <c r="A1338" s="3" t="str">
        <f>"21342019080119451299230"</f>
        <v>21342019080119451299230</v>
      </c>
      <c r="B1338" s="3" t="s">
        <v>6</v>
      </c>
      <c r="C1338" s="3" t="str">
        <f>"吉彦洁"</f>
        <v>吉彦洁</v>
      </c>
      <c r="D1338" s="3" t="str">
        <f t="shared" si="22"/>
        <v>女</v>
      </c>
      <c r="E1338" s="3" t="str">
        <f>"1996-08-08"</f>
        <v>1996-08-08</v>
      </c>
    </row>
    <row r="1339" spans="1:5" s="4" customFormat="1" ht="18" customHeight="1">
      <c r="A1339" s="3" t="str">
        <f>"21342019080119500699234"</f>
        <v>21342019080119500699234</v>
      </c>
      <c r="B1339" s="3" t="s">
        <v>6</v>
      </c>
      <c r="C1339" s="3" t="str">
        <f>"符小惠"</f>
        <v>符小惠</v>
      </c>
      <c r="D1339" s="3" t="str">
        <f t="shared" si="22"/>
        <v>女</v>
      </c>
      <c r="E1339" s="3" t="str">
        <f>"1991-01-16"</f>
        <v>1991-01-16</v>
      </c>
    </row>
    <row r="1340" spans="1:5" s="4" customFormat="1" ht="18" customHeight="1">
      <c r="A1340" s="3" t="str">
        <f>"21342019080119560799237"</f>
        <v>21342019080119560799237</v>
      </c>
      <c r="B1340" s="3" t="s">
        <v>6</v>
      </c>
      <c r="C1340" s="3" t="str">
        <f>"陈燕"</f>
        <v>陈燕</v>
      </c>
      <c r="D1340" s="3" t="str">
        <f t="shared" si="22"/>
        <v>女</v>
      </c>
      <c r="E1340" s="3" t="str">
        <f>"1991-05-12"</f>
        <v>1991-05-12</v>
      </c>
    </row>
    <row r="1341" spans="1:5" s="4" customFormat="1" ht="18" customHeight="1">
      <c r="A1341" s="3" t="str">
        <f>"21342019080120060599243"</f>
        <v>21342019080120060599243</v>
      </c>
      <c r="B1341" s="3" t="s">
        <v>6</v>
      </c>
      <c r="C1341" s="3" t="str">
        <f>"杨翠萍"</f>
        <v>杨翠萍</v>
      </c>
      <c r="D1341" s="3" t="str">
        <f t="shared" si="22"/>
        <v>女</v>
      </c>
      <c r="E1341" s="3" t="str">
        <f>"1996-03-19"</f>
        <v>1996-03-19</v>
      </c>
    </row>
    <row r="1342" spans="1:5" s="4" customFormat="1" ht="18" customHeight="1">
      <c r="A1342" s="3" t="str">
        <f>"21342019080120280499252"</f>
        <v>21342019080120280499252</v>
      </c>
      <c r="B1342" s="3" t="s">
        <v>6</v>
      </c>
      <c r="C1342" s="3" t="str">
        <f>"吴育虹"</f>
        <v>吴育虹</v>
      </c>
      <c r="D1342" s="3" t="str">
        <f t="shared" si="22"/>
        <v>女</v>
      </c>
      <c r="E1342" s="3" t="str">
        <f>"1996-04-20"</f>
        <v>1996-04-20</v>
      </c>
    </row>
    <row r="1343" spans="1:5" s="4" customFormat="1" ht="18" customHeight="1">
      <c r="A1343" s="3" t="str">
        <f>"21342019080120391099259"</f>
        <v>21342019080120391099259</v>
      </c>
      <c r="B1343" s="3" t="s">
        <v>6</v>
      </c>
      <c r="C1343" s="3" t="str">
        <f>"王语婧"</f>
        <v>王语婧</v>
      </c>
      <c r="D1343" s="3" t="str">
        <f t="shared" si="22"/>
        <v>女</v>
      </c>
      <c r="E1343" s="3" t="str">
        <f>"1995-12-09"</f>
        <v>1995-12-09</v>
      </c>
    </row>
    <row r="1344" spans="1:5" s="4" customFormat="1" ht="18" customHeight="1">
      <c r="A1344" s="3" t="str">
        <f>"21342019080120391999260"</f>
        <v>21342019080120391999260</v>
      </c>
      <c r="B1344" s="3" t="s">
        <v>6</v>
      </c>
      <c r="C1344" s="3" t="str">
        <f>"邱霜霜"</f>
        <v>邱霜霜</v>
      </c>
      <c r="D1344" s="3" t="str">
        <f t="shared" si="22"/>
        <v>女</v>
      </c>
      <c r="E1344" s="3" t="str">
        <f>"1997-05-09"</f>
        <v>1997-05-09</v>
      </c>
    </row>
    <row r="1345" spans="1:5" s="4" customFormat="1" ht="18" customHeight="1">
      <c r="A1345" s="3" t="str">
        <f>"21342019080120422199262"</f>
        <v>21342019080120422199262</v>
      </c>
      <c r="B1345" s="3" t="s">
        <v>6</v>
      </c>
      <c r="C1345" s="3" t="str">
        <f>"王文教"</f>
        <v>王文教</v>
      </c>
      <c r="D1345" s="3" t="str">
        <f t="shared" si="22"/>
        <v>女</v>
      </c>
      <c r="E1345" s="3" t="str">
        <f>"1991-12-18"</f>
        <v>1991-12-18</v>
      </c>
    </row>
    <row r="1346" spans="1:5" s="4" customFormat="1" ht="18" customHeight="1">
      <c r="A1346" s="3" t="str">
        <f>"21342019080120462899264"</f>
        <v>21342019080120462899264</v>
      </c>
      <c r="B1346" s="3" t="s">
        <v>6</v>
      </c>
      <c r="C1346" s="3" t="str">
        <f>"陈艳艳"</f>
        <v>陈艳艳</v>
      </c>
      <c r="D1346" s="3" t="str">
        <f t="shared" si="22"/>
        <v>女</v>
      </c>
      <c r="E1346" s="3" t="str">
        <f>"1996-01-10"</f>
        <v>1996-01-10</v>
      </c>
    </row>
    <row r="1347" spans="1:5" s="4" customFormat="1" ht="18" customHeight="1">
      <c r="A1347" s="3" t="str">
        <f>"21342019080121022399271"</f>
        <v>21342019080121022399271</v>
      </c>
      <c r="B1347" s="3" t="s">
        <v>6</v>
      </c>
      <c r="C1347" s="3" t="str">
        <f>"李莉"</f>
        <v>李莉</v>
      </c>
      <c r="D1347" s="3" t="str">
        <f t="shared" si="22"/>
        <v>女</v>
      </c>
      <c r="E1347" s="3" t="str">
        <f>"1991-06-11"</f>
        <v>1991-06-11</v>
      </c>
    </row>
    <row r="1348" spans="1:5" s="4" customFormat="1" ht="18" customHeight="1">
      <c r="A1348" s="3" t="str">
        <f>"21342019080121034999272"</f>
        <v>21342019080121034999272</v>
      </c>
      <c r="B1348" s="3" t="s">
        <v>6</v>
      </c>
      <c r="C1348" s="3" t="str">
        <f>"谢白茹"</f>
        <v>谢白茹</v>
      </c>
      <c r="D1348" s="3" t="str">
        <f t="shared" si="22"/>
        <v>女</v>
      </c>
      <c r="E1348" s="3" t="str">
        <f>"1991-02-21"</f>
        <v>1991-02-21</v>
      </c>
    </row>
    <row r="1349" spans="1:5" s="4" customFormat="1" ht="18" customHeight="1">
      <c r="A1349" s="3" t="str">
        <f>"21342019080121092199276"</f>
        <v>21342019080121092199276</v>
      </c>
      <c r="B1349" s="3" t="s">
        <v>6</v>
      </c>
      <c r="C1349" s="3" t="str">
        <f>"吴一浪"</f>
        <v>吴一浪</v>
      </c>
      <c r="D1349" s="3" t="str">
        <f t="shared" si="22"/>
        <v>女</v>
      </c>
      <c r="E1349" s="3" t="str">
        <f>"1996-09-28"</f>
        <v>1996-09-28</v>
      </c>
    </row>
    <row r="1350" spans="1:5" s="4" customFormat="1" ht="18" customHeight="1">
      <c r="A1350" s="3" t="str">
        <f>"21342019080121101099279"</f>
        <v>21342019080121101099279</v>
      </c>
      <c r="B1350" s="3" t="s">
        <v>6</v>
      </c>
      <c r="C1350" s="3" t="str">
        <f>"符少荣"</f>
        <v>符少荣</v>
      </c>
      <c r="D1350" s="3" t="str">
        <f t="shared" si="22"/>
        <v>女</v>
      </c>
      <c r="E1350" s="3" t="str">
        <f>"1991-07-11"</f>
        <v>1991-07-11</v>
      </c>
    </row>
    <row r="1351" spans="1:5" s="4" customFormat="1" ht="18" customHeight="1">
      <c r="A1351" s="3" t="str">
        <f>"21342019080121163099283"</f>
        <v>21342019080121163099283</v>
      </c>
      <c r="B1351" s="3" t="s">
        <v>6</v>
      </c>
      <c r="C1351" s="3" t="str">
        <f>"刘锦"</f>
        <v>刘锦</v>
      </c>
      <c r="D1351" s="3" t="str">
        <f t="shared" si="22"/>
        <v>女</v>
      </c>
      <c r="E1351" s="3" t="str">
        <f>"1995-07-27"</f>
        <v>1995-07-27</v>
      </c>
    </row>
    <row r="1352" spans="1:5" s="4" customFormat="1" ht="18" customHeight="1">
      <c r="A1352" s="3" t="str">
        <f>"21342019080121243999286"</f>
        <v>21342019080121243999286</v>
      </c>
      <c r="B1352" s="3" t="s">
        <v>6</v>
      </c>
      <c r="C1352" s="3" t="str">
        <f>"谢秀珠"</f>
        <v>谢秀珠</v>
      </c>
      <c r="D1352" s="3" t="str">
        <f t="shared" si="22"/>
        <v>女</v>
      </c>
      <c r="E1352" s="3" t="str">
        <f>"1993-11-20"</f>
        <v>1993-11-20</v>
      </c>
    </row>
    <row r="1353" spans="1:5" s="4" customFormat="1" ht="18" customHeight="1">
      <c r="A1353" s="3" t="str">
        <f>"21342019080121264099288"</f>
        <v>21342019080121264099288</v>
      </c>
      <c r="B1353" s="3" t="s">
        <v>6</v>
      </c>
      <c r="C1353" s="3" t="str">
        <f>"文雅"</f>
        <v>文雅</v>
      </c>
      <c r="D1353" s="3" t="str">
        <f t="shared" si="22"/>
        <v>女</v>
      </c>
      <c r="E1353" s="3" t="str">
        <f>"1996-09-23"</f>
        <v>1996-09-23</v>
      </c>
    </row>
    <row r="1354" spans="1:5" s="4" customFormat="1" ht="18" customHeight="1">
      <c r="A1354" s="3" t="str">
        <f>"21342019080121355899296"</f>
        <v>21342019080121355899296</v>
      </c>
      <c r="B1354" s="3" t="s">
        <v>6</v>
      </c>
      <c r="C1354" s="3" t="str">
        <f>"杨书宇"</f>
        <v>杨书宇</v>
      </c>
      <c r="D1354" s="3" t="str">
        <f t="shared" si="22"/>
        <v>女</v>
      </c>
      <c r="E1354" s="3" t="str">
        <f>"1996-11-05"</f>
        <v>1996-11-05</v>
      </c>
    </row>
    <row r="1355" spans="1:5" s="4" customFormat="1" ht="18" customHeight="1">
      <c r="A1355" s="3" t="str">
        <f>"21342019080121455799301"</f>
        <v>21342019080121455799301</v>
      </c>
      <c r="B1355" s="3" t="s">
        <v>6</v>
      </c>
      <c r="C1355" s="3" t="str">
        <f>"符玉珍"</f>
        <v>符玉珍</v>
      </c>
      <c r="D1355" s="3" t="str">
        <f t="shared" si="22"/>
        <v>女</v>
      </c>
      <c r="E1355" s="3" t="str">
        <f>"1992-09-25"</f>
        <v>1992-09-25</v>
      </c>
    </row>
    <row r="1356" spans="1:5" s="4" customFormat="1" ht="18" customHeight="1">
      <c r="A1356" s="3" t="str">
        <f>"21342019080121470899302"</f>
        <v>21342019080121470899302</v>
      </c>
      <c r="B1356" s="3" t="s">
        <v>6</v>
      </c>
      <c r="C1356" s="3" t="str">
        <f>"吴小莲"</f>
        <v>吴小莲</v>
      </c>
      <c r="D1356" s="3" t="str">
        <f t="shared" si="22"/>
        <v>女</v>
      </c>
      <c r="E1356" s="3" t="str">
        <f>"1989-11-02"</f>
        <v>1989-11-02</v>
      </c>
    </row>
    <row r="1357" spans="1:5" s="4" customFormat="1" ht="18" customHeight="1">
      <c r="A1357" s="3" t="str">
        <f>"21342019080121483999305"</f>
        <v>21342019080121483999305</v>
      </c>
      <c r="B1357" s="3" t="s">
        <v>6</v>
      </c>
      <c r="C1357" s="3" t="str">
        <f>"王玉萍"</f>
        <v>王玉萍</v>
      </c>
      <c r="D1357" s="3" t="str">
        <f t="shared" si="22"/>
        <v>女</v>
      </c>
      <c r="E1357" s="3" t="str">
        <f>"1998-09-07"</f>
        <v>1998-09-07</v>
      </c>
    </row>
    <row r="1358" spans="1:5" s="4" customFormat="1" ht="18" customHeight="1">
      <c r="A1358" s="3" t="str">
        <f>"21342019080121512699306"</f>
        <v>21342019080121512699306</v>
      </c>
      <c r="B1358" s="3" t="s">
        <v>6</v>
      </c>
      <c r="C1358" s="3" t="str">
        <f>"许元妹"</f>
        <v>许元妹</v>
      </c>
      <c r="D1358" s="3" t="str">
        <f t="shared" si="22"/>
        <v>女</v>
      </c>
      <c r="E1358" s="3" t="str">
        <f>"1998-05-08"</f>
        <v>1998-05-08</v>
      </c>
    </row>
    <row r="1359" spans="1:5" s="4" customFormat="1" ht="18" customHeight="1">
      <c r="A1359" s="3" t="str">
        <f>"21342019080121561599309"</f>
        <v>21342019080121561599309</v>
      </c>
      <c r="B1359" s="3" t="s">
        <v>6</v>
      </c>
      <c r="C1359" s="3" t="str">
        <f>"陈美妹"</f>
        <v>陈美妹</v>
      </c>
      <c r="D1359" s="3" t="str">
        <f t="shared" si="22"/>
        <v>女</v>
      </c>
      <c r="E1359" s="3" t="str">
        <f>"1995-12-03"</f>
        <v>1995-12-03</v>
      </c>
    </row>
    <row r="1360" spans="1:5" s="4" customFormat="1" ht="18" customHeight="1">
      <c r="A1360" s="3" t="str">
        <f>"21342019080121593399312"</f>
        <v>21342019080121593399312</v>
      </c>
      <c r="B1360" s="3" t="s">
        <v>6</v>
      </c>
      <c r="C1360" s="3" t="str">
        <f>"许菊艳"</f>
        <v>许菊艳</v>
      </c>
      <c r="D1360" s="3" t="str">
        <f t="shared" si="22"/>
        <v>女</v>
      </c>
      <c r="E1360" s="3" t="str">
        <f>"1997-06-12"</f>
        <v>1997-06-12</v>
      </c>
    </row>
    <row r="1361" spans="1:5" s="4" customFormat="1" ht="18" customHeight="1">
      <c r="A1361" s="3" t="str">
        <f>"21342019080122022299314"</f>
        <v>21342019080122022299314</v>
      </c>
      <c r="B1361" s="3" t="s">
        <v>6</v>
      </c>
      <c r="C1361" s="3" t="str">
        <f>"冯丽玲"</f>
        <v>冯丽玲</v>
      </c>
      <c r="D1361" s="3" t="str">
        <f t="shared" si="22"/>
        <v>女</v>
      </c>
      <c r="E1361" s="3" t="str">
        <f>"1995-05-11"</f>
        <v>1995-05-11</v>
      </c>
    </row>
    <row r="1362" spans="1:5" s="4" customFormat="1" ht="18" customHeight="1">
      <c r="A1362" s="3" t="str">
        <f>"21342019080122040199317"</f>
        <v>21342019080122040199317</v>
      </c>
      <c r="B1362" s="3" t="s">
        <v>6</v>
      </c>
      <c r="C1362" s="3" t="str">
        <f>"林琳"</f>
        <v>林琳</v>
      </c>
      <c r="D1362" s="3" t="str">
        <f t="shared" si="22"/>
        <v>女</v>
      </c>
      <c r="E1362" s="3" t="str">
        <f>"1994-07-13"</f>
        <v>1994-07-13</v>
      </c>
    </row>
    <row r="1363" spans="1:5" s="4" customFormat="1" ht="18" customHeight="1">
      <c r="A1363" s="3" t="str">
        <f>"21342019080122245499329"</f>
        <v>21342019080122245499329</v>
      </c>
      <c r="B1363" s="3" t="s">
        <v>6</v>
      </c>
      <c r="C1363" s="3" t="str">
        <f>"陈名贞"</f>
        <v>陈名贞</v>
      </c>
      <c r="D1363" s="3" t="str">
        <f t="shared" si="22"/>
        <v>女</v>
      </c>
      <c r="E1363" s="3" t="str">
        <f>"1992-12-09"</f>
        <v>1992-12-09</v>
      </c>
    </row>
    <row r="1364" spans="1:5" s="4" customFormat="1" ht="18" customHeight="1">
      <c r="A1364" s="3" t="str">
        <f>"21342019080122260299330"</f>
        <v>21342019080122260299330</v>
      </c>
      <c r="B1364" s="3" t="s">
        <v>6</v>
      </c>
      <c r="C1364" s="3" t="str">
        <f>"陈少芬"</f>
        <v>陈少芬</v>
      </c>
      <c r="D1364" s="3" t="str">
        <f t="shared" si="22"/>
        <v>女</v>
      </c>
      <c r="E1364" s="3" t="str">
        <f>"1993-05-12"</f>
        <v>1993-05-12</v>
      </c>
    </row>
    <row r="1365" spans="1:5" s="4" customFormat="1" ht="18" customHeight="1">
      <c r="A1365" s="3" t="str">
        <f>"21342019080122291999331"</f>
        <v>21342019080122291999331</v>
      </c>
      <c r="B1365" s="3" t="s">
        <v>6</v>
      </c>
      <c r="C1365" s="3" t="str">
        <f>"邢丽影"</f>
        <v>邢丽影</v>
      </c>
      <c r="D1365" s="3" t="str">
        <f t="shared" si="22"/>
        <v>女</v>
      </c>
      <c r="E1365" s="3" t="str">
        <f>"1998-10-03"</f>
        <v>1998-10-03</v>
      </c>
    </row>
    <row r="1366" spans="1:5" s="4" customFormat="1" ht="18" customHeight="1">
      <c r="A1366" s="3" t="str">
        <f>"21342019080122353199334"</f>
        <v>21342019080122353199334</v>
      </c>
      <c r="B1366" s="3" t="s">
        <v>6</v>
      </c>
      <c r="C1366" s="3" t="str">
        <f>"唐世天"</f>
        <v>唐世天</v>
      </c>
      <c r="D1366" s="3" t="str">
        <f t="shared" si="22"/>
        <v>女</v>
      </c>
      <c r="E1366" s="3" t="str">
        <f>"1994-08-30"</f>
        <v>1994-08-30</v>
      </c>
    </row>
    <row r="1367" spans="1:5" s="4" customFormat="1" ht="18" customHeight="1">
      <c r="A1367" s="3" t="str">
        <f>"21342019080122364299336"</f>
        <v>21342019080122364299336</v>
      </c>
      <c r="B1367" s="3" t="s">
        <v>6</v>
      </c>
      <c r="C1367" s="3" t="str">
        <f>"林珏谷"</f>
        <v>林珏谷</v>
      </c>
      <c r="D1367" s="3" t="str">
        <f t="shared" si="22"/>
        <v>女</v>
      </c>
      <c r="E1367" s="3" t="str">
        <f>"1994-05-14"</f>
        <v>1994-05-14</v>
      </c>
    </row>
    <row r="1368" spans="1:5" s="4" customFormat="1" ht="18" customHeight="1">
      <c r="A1368" s="3" t="str">
        <f>"21342019080123095599350"</f>
        <v>21342019080123095599350</v>
      </c>
      <c r="B1368" s="3" t="s">
        <v>6</v>
      </c>
      <c r="C1368" s="3" t="str">
        <f>"杨妃"</f>
        <v>杨妃</v>
      </c>
      <c r="D1368" s="3" t="str">
        <f t="shared" si="22"/>
        <v>女</v>
      </c>
      <c r="E1368" s="3" t="str">
        <f>"1993-05-28"</f>
        <v>1993-05-28</v>
      </c>
    </row>
    <row r="1369" spans="1:5" s="4" customFormat="1" ht="18" customHeight="1">
      <c r="A1369" s="3" t="str">
        <f>"21342019080123340099353"</f>
        <v>21342019080123340099353</v>
      </c>
      <c r="B1369" s="3" t="s">
        <v>6</v>
      </c>
      <c r="C1369" s="3" t="str">
        <f>"羊玉女"</f>
        <v>羊玉女</v>
      </c>
      <c r="D1369" s="3" t="str">
        <f t="shared" si="22"/>
        <v>女</v>
      </c>
      <c r="E1369" s="3" t="str">
        <f>"1995-06-07"</f>
        <v>1995-06-07</v>
      </c>
    </row>
    <row r="1370" spans="1:5" s="4" customFormat="1" ht="18" customHeight="1">
      <c r="A1370" s="3" t="str">
        <f>"21342019080200113599356"</f>
        <v>21342019080200113599356</v>
      </c>
      <c r="B1370" s="3" t="s">
        <v>6</v>
      </c>
      <c r="C1370" s="3" t="str">
        <f>"胡秀"</f>
        <v>胡秀</v>
      </c>
      <c r="D1370" s="3" t="str">
        <f t="shared" si="22"/>
        <v>女</v>
      </c>
      <c r="E1370" s="3" t="str">
        <f>"1993-12-04"</f>
        <v>1993-12-04</v>
      </c>
    </row>
    <row r="1371" spans="1:5" s="4" customFormat="1" ht="18" customHeight="1">
      <c r="A1371" s="3" t="str">
        <f>"21342019080200135299357"</f>
        <v>21342019080200135299357</v>
      </c>
      <c r="B1371" s="3" t="s">
        <v>6</v>
      </c>
      <c r="C1371" s="3" t="str">
        <f>"陈凯莉"</f>
        <v>陈凯莉</v>
      </c>
      <c r="D1371" s="3" t="str">
        <f t="shared" si="22"/>
        <v>女</v>
      </c>
      <c r="E1371" s="3" t="str">
        <f>"1995-12-22"</f>
        <v>1995-12-22</v>
      </c>
    </row>
    <row r="1372" spans="1:5" s="4" customFormat="1" ht="18" customHeight="1">
      <c r="A1372" s="3" t="str">
        <f>"21342019080200162499358"</f>
        <v>21342019080200162499358</v>
      </c>
      <c r="B1372" s="3" t="s">
        <v>6</v>
      </c>
      <c r="C1372" s="3" t="str">
        <f>"何国菱"</f>
        <v>何国菱</v>
      </c>
      <c r="D1372" s="3" t="str">
        <f t="shared" si="22"/>
        <v>女</v>
      </c>
      <c r="E1372" s="3" t="str">
        <f>"1992-06-15"</f>
        <v>1992-06-15</v>
      </c>
    </row>
    <row r="1373" spans="1:5" s="4" customFormat="1" ht="18" customHeight="1">
      <c r="A1373" s="3" t="str">
        <f>"21342019080200240999360"</f>
        <v>21342019080200240999360</v>
      </c>
      <c r="B1373" s="3" t="s">
        <v>6</v>
      </c>
      <c r="C1373" s="3" t="str">
        <f>"王俏莎"</f>
        <v>王俏莎</v>
      </c>
      <c r="D1373" s="3" t="str">
        <f t="shared" si="22"/>
        <v>女</v>
      </c>
      <c r="E1373" s="3" t="str">
        <f>"1993-08-04"</f>
        <v>1993-08-04</v>
      </c>
    </row>
    <row r="1374" spans="1:5" s="4" customFormat="1" ht="18" customHeight="1">
      <c r="A1374" s="3" t="str">
        <f>"21342019080200241899361"</f>
        <v>21342019080200241899361</v>
      </c>
      <c r="B1374" s="3" t="s">
        <v>6</v>
      </c>
      <c r="C1374" s="3" t="str">
        <f>"吴魏尔"</f>
        <v>吴魏尔</v>
      </c>
      <c r="D1374" s="3" t="str">
        <f t="shared" si="22"/>
        <v>女</v>
      </c>
      <c r="E1374" s="3" t="str">
        <f>"1990-03-18"</f>
        <v>1990-03-18</v>
      </c>
    </row>
    <row r="1375" spans="1:5" s="4" customFormat="1" ht="18" customHeight="1">
      <c r="A1375" s="3" t="str">
        <f>"21342019080200430499363"</f>
        <v>21342019080200430499363</v>
      </c>
      <c r="B1375" s="3" t="s">
        <v>6</v>
      </c>
      <c r="C1375" s="3" t="str">
        <f>"沈淑桃"</f>
        <v>沈淑桃</v>
      </c>
      <c r="D1375" s="3" t="str">
        <f t="shared" si="22"/>
        <v>女</v>
      </c>
      <c r="E1375" s="3" t="str">
        <f>"1998-10-01"</f>
        <v>1998-10-01</v>
      </c>
    </row>
    <row r="1376" spans="1:5" s="4" customFormat="1" ht="18" customHeight="1">
      <c r="A1376" s="3" t="str">
        <f>"21342019080200445799365"</f>
        <v>21342019080200445799365</v>
      </c>
      <c r="B1376" s="3" t="s">
        <v>6</v>
      </c>
      <c r="C1376" s="3" t="str">
        <f>"刘金"</f>
        <v>刘金</v>
      </c>
      <c r="D1376" s="3" t="str">
        <f t="shared" si="22"/>
        <v>女</v>
      </c>
      <c r="E1376" s="3" t="str">
        <f>"1993-05-20"</f>
        <v>1993-05-20</v>
      </c>
    </row>
    <row r="1377" spans="1:5" s="4" customFormat="1" ht="18" customHeight="1">
      <c r="A1377" s="3" t="str">
        <f>"21342019080208433399400"</f>
        <v>21342019080208433399400</v>
      </c>
      <c r="B1377" s="3" t="s">
        <v>6</v>
      </c>
      <c r="C1377" s="3" t="str">
        <f>"曾榆钧"</f>
        <v>曾榆钧</v>
      </c>
      <c r="D1377" s="3" t="str">
        <f t="shared" si="22"/>
        <v>女</v>
      </c>
      <c r="E1377" s="3" t="str">
        <f>"1994-09-22"</f>
        <v>1994-09-22</v>
      </c>
    </row>
    <row r="1378" spans="1:5" s="4" customFormat="1" ht="18" customHeight="1">
      <c r="A1378" s="3" t="str">
        <f>"21342019080208565999411"</f>
        <v>21342019080208565999411</v>
      </c>
      <c r="B1378" s="3" t="s">
        <v>6</v>
      </c>
      <c r="C1378" s="3" t="str">
        <f>"胥镁"</f>
        <v>胥镁</v>
      </c>
      <c r="D1378" s="3" t="str">
        <f t="shared" si="22"/>
        <v>女</v>
      </c>
      <c r="E1378" s="3" t="str">
        <f>"1998-01-23"</f>
        <v>1998-01-23</v>
      </c>
    </row>
    <row r="1379" spans="1:5" s="4" customFormat="1" ht="18" customHeight="1">
      <c r="A1379" s="3" t="str">
        <f>"21342019080209125699425"</f>
        <v>21342019080209125699425</v>
      </c>
      <c r="B1379" s="3" t="s">
        <v>6</v>
      </c>
      <c r="C1379" s="3" t="str">
        <f>"吴奇妹"</f>
        <v>吴奇妹</v>
      </c>
      <c r="D1379" s="3" t="str">
        <f aca="true" t="shared" si="23" ref="D1379:D1436">"女"</f>
        <v>女</v>
      </c>
      <c r="E1379" s="3" t="str">
        <f>"1998-12-20"</f>
        <v>1998-12-20</v>
      </c>
    </row>
    <row r="1380" spans="1:5" s="4" customFormat="1" ht="18" customHeight="1">
      <c r="A1380" s="3" t="str">
        <f>"21342019080209355499448"</f>
        <v>21342019080209355499448</v>
      </c>
      <c r="B1380" s="3" t="s">
        <v>6</v>
      </c>
      <c r="C1380" s="3" t="str">
        <f>"陈丽"</f>
        <v>陈丽</v>
      </c>
      <c r="D1380" s="3" t="str">
        <f t="shared" si="23"/>
        <v>女</v>
      </c>
      <c r="E1380" s="3" t="str">
        <f>"1997-01-28"</f>
        <v>1997-01-28</v>
      </c>
    </row>
    <row r="1381" spans="1:5" s="4" customFormat="1" ht="18" customHeight="1">
      <c r="A1381" s="3" t="str">
        <f>"21342019080209444899461"</f>
        <v>21342019080209444899461</v>
      </c>
      <c r="B1381" s="3" t="s">
        <v>6</v>
      </c>
      <c r="C1381" s="3" t="str">
        <f>"方晶"</f>
        <v>方晶</v>
      </c>
      <c r="D1381" s="3" t="str">
        <f t="shared" si="23"/>
        <v>女</v>
      </c>
      <c r="E1381" s="3" t="str">
        <f>"1995-11-21"</f>
        <v>1995-11-21</v>
      </c>
    </row>
    <row r="1382" spans="1:5" s="4" customFormat="1" ht="18" customHeight="1">
      <c r="A1382" s="3" t="str">
        <f>"21342019080209542099468"</f>
        <v>21342019080209542099468</v>
      </c>
      <c r="B1382" s="3" t="s">
        <v>6</v>
      </c>
      <c r="C1382" s="3" t="str">
        <f>"苏小单"</f>
        <v>苏小单</v>
      </c>
      <c r="D1382" s="3" t="str">
        <f t="shared" si="23"/>
        <v>女</v>
      </c>
      <c r="E1382" s="3" t="str">
        <f>"1990-12-12"</f>
        <v>1990-12-12</v>
      </c>
    </row>
    <row r="1383" spans="1:5" s="4" customFormat="1" ht="18" customHeight="1">
      <c r="A1383" s="3" t="str">
        <f>"21342019080209550499471"</f>
        <v>21342019080209550499471</v>
      </c>
      <c r="B1383" s="3" t="s">
        <v>6</v>
      </c>
      <c r="C1383" s="3" t="str">
        <f>"陈娇"</f>
        <v>陈娇</v>
      </c>
      <c r="D1383" s="3" t="str">
        <f t="shared" si="23"/>
        <v>女</v>
      </c>
      <c r="E1383" s="3" t="str">
        <f>"1994-02-06"</f>
        <v>1994-02-06</v>
      </c>
    </row>
    <row r="1384" spans="1:5" s="4" customFormat="1" ht="18" customHeight="1">
      <c r="A1384" s="3" t="str">
        <f>"21342019080210000099476"</f>
        <v>21342019080210000099476</v>
      </c>
      <c r="B1384" s="3" t="s">
        <v>6</v>
      </c>
      <c r="C1384" s="3" t="str">
        <f>"王玉銮"</f>
        <v>王玉銮</v>
      </c>
      <c r="D1384" s="3" t="str">
        <f t="shared" si="23"/>
        <v>女</v>
      </c>
      <c r="E1384" s="3" t="str">
        <f>"1996-07-11"</f>
        <v>1996-07-11</v>
      </c>
    </row>
    <row r="1385" spans="1:5" s="4" customFormat="1" ht="18" customHeight="1">
      <c r="A1385" s="3" t="str">
        <f>"21342019080210010899478"</f>
        <v>21342019080210010899478</v>
      </c>
      <c r="B1385" s="3" t="s">
        <v>6</v>
      </c>
      <c r="C1385" s="3" t="str">
        <f>"梁紫莲"</f>
        <v>梁紫莲</v>
      </c>
      <c r="D1385" s="3" t="str">
        <f t="shared" si="23"/>
        <v>女</v>
      </c>
      <c r="E1385" s="3" t="str">
        <f>"1995-01-15"</f>
        <v>1995-01-15</v>
      </c>
    </row>
    <row r="1386" spans="1:5" s="4" customFormat="1" ht="18" customHeight="1">
      <c r="A1386" s="3" t="str">
        <f>"21342019080210031099481"</f>
        <v>21342019080210031099481</v>
      </c>
      <c r="B1386" s="3" t="s">
        <v>6</v>
      </c>
      <c r="C1386" s="3" t="str">
        <f>"王焕丽"</f>
        <v>王焕丽</v>
      </c>
      <c r="D1386" s="3" t="str">
        <f t="shared" si="23"/>
        <v>女</v>
      </c>
      <c r="E1386" s="3" t="str">
        <f>"1989-09-16"</f>
        <v>1989-09-16</v>
      </c>
    </row>
    <row r="1387" spans="1:5" s="4" customFormat="1" ht="18" customHeight="1">
      <c r="A1387" s="3" t="str">
        <f>"21342019080210134399489"</f>
        <v>21342019080210134399489</v>
      </c>
      <c r="B1387" s="3" t="s">
        <v>6</v>
      </c>
      <c r="C1387" s="3" t="str">
        <f>"周婧"</f>
        <v>周婧</v>
      </c>
      <c r="D1387" s="3" t="str">
        <f t="shared" si="23"/>
        <v>女</v>
      </c>
      <c r="E1387" s="3" t="str">
        <f>"1995-08-08"</f>
        <v>1995-08-08</v>
      </c>
    </row>
    <row r="1388" spans="1:5" s="4" customFormat="1" ht="18" customHeight="1">
      <c r="A1388" s="3" t="str">
        <f>"21342019080210164699493"</f>
        <v>21342019080210164699493</v>
      </c>
      <c r="B1388" s="3" t="s">
        <v>6</v>
      </c>
      <c r="C1388" s="3" t="str">
        <f>"林诗銮"</f>
        <v>林诗銮</v>
      </c>
      <c r="D1388" s="3" t="str">
        <f t="shared" si="23"/>
        <v>女</v>
      </c>
      <c r="E1388" s="3" t="str">
        <f>"1993-02-13"</f>
        <v>1993-02-13</v>
      </c>
    </row>
    <row r="1389" spans="1:5" s="4" customFormat="1" ht="18" customHeight="1">
      <c r="A1389" s="3" t="str">
        <f>"21342019080210310099506"</f>
        <v>21342019080210310099506</v>
      </c>
      <c r="B1389" s="3" t="s">
        <v>6</v>
      </c>
      <c r="C1389" s="3" t="str">
        <f>"李亚霞"</f>
        <v>李亚霞</v>
      </c>
      <c r="D1389" s="3" t="str">
        <f t="shared" si="23"/>
        <v>女</v>
      </c>
      <c r="E1389" s="3" t="str">
        <f>"1996-07-10"</f>
        <v>1996-07-10</v>
      </c>
    </row>
    <row r="1390" spans="1:5" s="4" customFormat="1" ht="18" customHeight="1">
      <c r="A1390" s="3" t="str">
        <f>"21342019080210360499510"</f>
        <v>21342019080210360499510</v>
      </c>
      <c r="B1390" s="3" t="s">
        <v>6</v>
      </c>
      <c r="C1390" s="3" t="str">
        <f>"黎少君"</f>
        <v>黎少君</v>
      </c>
      <c r="D1390" s="3" t="str">
        <f t="shared" si="23"/>
        <v>女</v>
      </c>
      <c r="E1390" s="3" t="str">
        <f>"1992-11-19"</f>
        <v>1992-11-19</v>
      </c>
    </row>
    <row r="1391" spans="1:5" s="4" customFormat="1" ht="18" customHeight="1">
      <c r="A1391" s="3" t="str">
        <f>"21342019080210413799515"</f>
        <v>21342019080210413799515</v>
      </c>
      <c r="B1391" s="3" t="s">
        <v>6</v>
      </c>
      <c r="C1391" s="3" t="str">
        <f>"潘金玲"</f>
        <v>潘金玲</v>
      </c>
      <c r="D1391" s="3" t="str">
        <f t="shared" si="23"/>
        <v>女</v>
      </c>
      <c r="E1391" s="3" t="str">
        <f>"1993-11-09"</f>
        <v>1993-11-09</v>
      </c>
    </row>
    <row r="1392" spans="1:5" s="4" customFormat="1" ht="18" customHeight="1">
      <c r="A1392" s="3" t="str">
        <f>"21342019080210530999522"</f>
        <v>21342019080210530999522</v>
      </c>
      <c r="B1392" s="3" t="s">
        <v>6</v>
      </c>
      <c r="C1392" s="3" t="str">
        <f>"林芳丽"</f>
        <v>林芳丽</v>
      </c>
      <c r="D1392" s="3" t="str">
        <f t="shared" si="23"/>
        <v>女</v>
      </c>
      <c r="E1392" s="3" t="str">
        <f>"1992-09-06"</f>
        <v>1992-09-06</v>
      </c>
    </row>
    <row r="1393" spans="1:5" s="4" customFormat="1" ht="18" customHeight="1">
      <c r="A1393" s="3" t="str">
        <f>"21342019080211031999526"</f>
        <v>21342019080211031999526</v>
      </c>
      <c r="B1393" s="3" t="s">
        <v>6</v>
      </c>
      <c r="C1393" s="3" t="str">
        <f>"史萍"</f>
        <v>史萍</v>
      </c>
      <c r="D1393" s="3" t="str">
        <f t="shared" si="23"/>
        <v>女</v>
      </c>
      <c r="E1393" s="3" t="str">
        <f>"1995-03-12"</f>
        <v>1995-03-12</v>
      </c>
    </row>
    <row r="1394" spans="1:5" s="4" customFormat="1" ht="18" customHeight="1">
      <c r="A1394" s="3" t="str">
        <f>"21342019080211060999528"</f>
        <v>21342019080211060999528</v>
      </c>
      <c r="B1394" s="3" t="s">
        <v>6</v>
      </c>
      <c r="C1394" s="3" t="str">
        <f>"林雪霞"</f>
        <v>林雪霞</v>
      </c>
      <c r="D1394" s="3" t="str">
        <f t="shared" si="23"/>
        <v>女</v>
      </c>
      <c r="E1394" s="3" t="str">
        <f>"1994-06-26"</f>
        <v>1994-06-26</v>
      </c>
    </row>
    <row r="1395" spans="1:5" s="4" customFormat="1" ht="18" customHeight="1">
      <c r="A1395" s="3" t="str">
        <f>"21342019080211161399540"</f>
        <v>21342019080211161399540</v>
      </c>
      <c r="B1395" s="3" t="s">
        <v>6</v>
      </c>
      <c r="C1395" s="3" t="str">
        <f>"肖琼芳"</f>
        <v>肖琼芳</v>
      </c>
      <c r="D1395" s="3" t="str">
        <f t="shared" si="23"/>
        <v>女</v>
      </c>
      <c r="E1395" s="3" t="str">
        <f>"1998-05-23"</f>
        <v>1998-05-23</v>
      </c>
    </row>
    <row r="1396" spans="1:5" s="4" customFormat="1" ht="18" customHeight="1">
      <c r="A1396" s="3" t="str">
        <f>"21342019080211194099544"</f>
        <v>21342019080211194099544</v>
      </c>
      <c r="B1396" s="3" t="s">
        <v>6</v>
      </c>
      <c r="C1396" s="3" t="str">
        <f>"苏莉茜"</f>
        <v>苏莉茜</v>
      </c>
      <c r="D1396" s="3" t="str">
        <f t="shared" si="23"/>
        <v>女</v>
      </c>
      <c r="E1396" s="3" t="str">
        <f>"1990-08-26"</f>
        <v>1990-08-26</v>
      </c>
    </row>
    <row r="1397" spans="1:5" s="4" customFormat="1" ht="18" customHeight="1">
      <c r="A1397" s="3" t="str">
        <f>"21342019080211322999558"</f>
        <v>21342019080211322999558</v>
      </c>
      <c r="B1397" s="3" t="s">
        <v>6</v>
      </c>
      <c r="C1397" s="3" t="str">
        <f>"王祥凤"</f>
        <v>王祥凤</v>
      </c>
      <c r="D1397" s="3" t="str">
        <f t="shared" si="23"/>
        <v>女</v>
      </c>
      <c r="E1397" s="3" t="str">
        <f>"1991-04-13"</f>
        <v>1991-04-13</v>
      </c>
    </row>
    <row r="1398" spans="1:5" s="4" customFormat="1" ht="18" customHeight="1">
      <c r="A1398" s="3" t="str">
        <f>"21342019080211382999567"</f>
        <v>21342019080211382999567</v>
      </c>
      <c r="B1398" s="3" t="s">
        <v>6</v>
      </c>
      <c r="C1398" s="3" t="str">
        <f>"冯艳"</f>
        <v>冯艳</v>
      </c>
      <c r="D1398" s="3" t="str">
        <f t="shared" si="23"/>
        <v>女</v>
      </c>
      <c r="E1398" s="3" t="str">
        <f>"1995-04-15"</f>
        <v>1995-04-15</v>
      </c>
    </row>
    <row r="1399" spans="1:5" s="4" customFormat="1" ht="18" customHeight="1">
      <c r="A1399" s="3" t="str">
        <f>"21342019080212064199577"</f>
        <v>21342019080212064199577</v>
      </c>
      <c r="B1399" s="3" t="s">
        <v>6</v>
      </c>
      <c r="C1399" s="3" t="str">
        <f>"王天雪"</f>
        <v>王天雪</v>
      </c>
      <c r="D1399" s="3" t="str">
        <f t="shared" si="23"/>
        <v>女</v>
      </c>
      <c r="E1399" s="3" t="str">
        <f>"1997-08-26"</f>
        <v>1997-08-26</v>
      </c>
    </row>
    <row r="1400" spans="1:5" s="4" customFormat="1" ht="18" customHeight="1">
      <c r="A1400" s="3" t="str">
        <f>"21342019080212064999578"</f>
        <v>21342019080212064999578</v>
      </c>
      <c r="B1400" s="3" t="s">
        <v>6</v>
      </c>
      <c r="C1400" s="3" t="str">
        <f>"陈红"</f>
        <v>陈红</v>
      </c>
      <c r="D1400" s="3" t="str">
        <f t="shared" si="23"/>
        <v>女</v>
      </c>
      <c r="E1400" s="3" t="str">
        <f>"1991-09-05"</f>
        <v>1991-09-05</v>
      </c>
    </row>
    <row r="1401" spans="1:5" s="4" customFormat="1" ht="18" customHeight="1">
      <c r="A1401" s="3" t="str">
        <f>"21342019080212123099582"</f>
        <v>21342019080212123099582</v>
      </c>
      <c r="B1401" s="3" t="s">
        <v>6</v>
      </c>
      <c r="C1401" s="3" t="str">
        <f>"许莲妹"</f>
        <v>许莲妹</v>
      </c>
      <c r="D1401" s="3" t="str">
        <f t="shared" si="23"/>
        <v>女</v>
      </c>
      <c r="E1401" s="3" t="str">
        <f>"1993-02-03"</f>
        <v>1993-02-03</v>
      </c>
    </row>
    <row r="1402" spans="1:5" s="4" customFormat="1" ht="18" customHeight="1">
      <c r="A1402" s="3" t="str">
        <f>"21342019080212202299584"</f>
        <v>21342019080212202299584</v>
      </c>
      <c r="B1402" s="3" t="s">
        <v>6</v>
      </c>
      <c r="C1402" s="3" t="str">
        <f>"陈夏兰"</f>
        <v>陈夏兰</v>
      </c>
      <c r="D1402" s="3" t="str">
        <f t="shared" si="23"/>
        <v>女</v>
      </c>
      <c r="E1402" s="3" t="str">
        <f>"1995-05-30"</f>
        <v>1995-05-30</v>
      </c>
    </row>
    <row r="1403" spans="1:5" s="4" customFormat="1" ht="18" customHeight="1">
      <c r="A1403" s="3" t="str">
        <f>"21342019080212211599586"</f>
        <v>21342019080212211599586</v>
      </c>
      <c r="B1403" s="3" t="s">
        <v>6</v>
      </c>
      <c r="C1403" s="3" t="str">
        <f>"吴娱"</f>
        <v>吴娱</v>
      </c>
      <c r="D1403" s="3" t="str">
        <f t="shared" si="23"/>
        <v>女</v>
      </c>
      <c r="E1403" s="3" t="str">
        <f>"1992-09-10"</f>
        <v>1992-09-10</v>
      </c>
    </row>
    <row r="1404" spans="1:5" s="4" customFormat="1" ht="18" customHeight="1">
      <c r="A1404" s="3" t="str">
        <f>"21342019080212323599595"</f>
        <v>21342019080212323599595</v>
      </c>
      <c r="B1404" s="3" t="s">
        <v>6</v>
      </c>
      <c r="C1404" s="3" t="str">
        <f>"文钦丽"</f>
        <v>文钦丽</v>
      </c>
      <c r="D1404" s="3" t="str">
        <f t="shared" si="23"/>
        <v>女</v>
      </c>
      <c r="E1404" s="3" t="str">
        <f>"1992-11-05"</f>
        <v>1992-11-05</v>
      </c>
    </row>
    <row r="1405" spans="1:5" s="4" customFormat="1" ht="18" customHeight="1">
      <c r="A1405" s="3" t="str">
        <f>"21342019080212330599596"</f>
        <v>21342019080212330599596</v>
      </c>
      <c r="B1405" s="3" t="s">
        <v>6</v>
      </c>
      <c r="C1405" s="3" t="str">
        <f>"冯忠玉"</f>
        <v>冯忠玉</v>
      </c>
      <c r="D1405" s="3" t="str">
        <f t="shared" si="23"/>
        <v>女</v>
      </c>
      <c r="E1405" s="3" t="str">
        <f>"1995-10-04"</f>
        <v>1995-10-04</v>
      </c>
    </row>
    <row r="1406" spans="1:5" s="4" customFormat="1" ht="18" customHeight="1">
      <c r="A1406" s="3" t="str">
        <f>"21342019080212342999597"</f>
        <v>21342019080212342999597</v>
      </c>
      <c r="B1406" s="3" t="s">
        <v>6</v>
      </c>
      <c r="C1406" s="3" t="str">
        <f>"陈珊妮"</f>
        <v>陈珊妮</v>
      </c>
      <c r="D1406" s="3" t="str">
        <f t="shared" si="23"/>
        <v>女</v>
      </c>
      <c r="E1406" s="3" t="str">
        <f>"1989-11-27"</f>
        <v>1989-11-27</v>
      </c>
    </row>
    <row r="1407" spans="1:5" s="4" customFormat="1" ht="18" customHeight="1">
      <c r="A1407" s="3" t="str">
        <f>"21342019080212395099600"</f>
        <v>21342019080212395099600</v>
      </c>
      <c r="B1407" s="3" t="s">
        <v>6</v>
      </c>
      <c r="C1407" s="3" t="str">
        <f>"李诗婕"</f>
        <v>李诗婕</v>
      </c>
      <c r="D1407" s="3" t="str">
        <f t="shared" si="23"/>
        <v>女</v>
      </c>
      <c r="E1407" s="3" t="str">
        <f>"1996-11-05"</f>
        <v>1996-11-05</v>
      </c>
    </row>
    <row r="1408" spans="1:5" s="4" customFormat="1" ht="18" customHeight="1">
      <c r="A1408" s="3" t="str">
        <f>"21342019080212460999603"</f>
        <v>21342019080212460999603</v>
      </c>
      <c r="B1408" s="3" t="s">
        <v>6</v>
      </c>
      <c r="C1408" s="3" t="str">
        <f>"杜小红"</f>
        <v>杜小红</v>
      </c>
      <c r="D1408" s="3" t="str">
        <f t="shared" si="23"/>
        <v>女</v>
      </c>
      <c r="E1408" s="3" t="str">
        <f>"1995-11-16"</f>
        <v>1995-11-16</v>
      </c>
    </row>
    <row r="1409" spans="1:5" s="4" customFormat="1" ht="18" customHeight="1">
      <c r="A1409" s="3" t="str">
        <f>"21342019080212511199606"</f>
        <v>21342019080212511199606</v>
      </c>
      <c r="B1409" s="3" t="s">
        <v>6</v>
      </c>
      <c r="C1409" s="3" t="str">
        <f>"韦丽情"</f>
        <v>韦丽情</v>
      </c>
      <c r="D1409" s="3" t="str">
        <f t="shared" si="23"/>
        <v>女</v>
      </c>
      <c r="E1409" s="3" t="str">
        <f>"1993-01-07"</f>
        <v>1993-01-07</v>
      </c>
    </row>
    <row r="1410" spans="1:5" s="4" customFormat="1" ht="18" customHeight="1">
      <c r="A1410" s="3" t="str">
        <f>"21342019080212573499609"</f>
        <v>21342019080212573499609</v>
      </c>
      <c r="B1410" s="3" t="s">
        <v>6</v>
      </c>
      <c r="C1410" s="3" t="str">
        <f>"杨静"</f>
        <v>杨静</v>
      </c>
      <c r="D1410" s="3" t="str">
        <f t="shared" si="23"/>
        <v>女</v>
      </c>
      <c r="E1410" s="3" t="str">
        <f>"1991-09-05"</f>
        <v>1991-09-05</v>
      </c>
    </row>
    <row r="1411" spans="1:5" s="4" customFormat="1" ht="18" customHeight="1">
      <c r="A1411" s="3" t="str">
        <f>"21342019080213065899617"</f>
        <v>21342019080213065899617</v>
      </c>
      <c r="B1411" s="3" t="s">
        <v>6</v>
      </c>
      <c r="C1411" s="3" t="str">
        <f>"韦天香"</f>
        <v>韦天香</v>
      </c>
      <c r="D1411" s="3" t="str">
        <f t="shared" si="23"/>
        <v>女</v>
      </c>
      <c r="E1411" s="3" t="str">
        <f>"1995-05-13"</f>
        <v>1995-05-13</v>
      </c>
    </row>
    <row r="1412" spans="1:5" s="4" customFormat="1" ht="18" customHeight="1">
      <c r="A1412" s="3" t="str">
        <f>"21342019080213133499620"</f>
        <v>21342019080213133499620</v>
      </c>
      <c r="B1412" s="3" t="s">
        <v>6</v>
      </c>
      <c r="C1412" s="3" t="str">
        <f>"周月芬"</f>
        <v>周月芬</v>
      </c>
      <c r="D1412" s="3" t="str">
        <f t="shared" si="23"/>
        <v>女</v>
      </c>
      <c r="E1412" s="3" t="str">
        <f>"1994-10-13"</f>
        <v>1994-10-13</v>
      </c>
    </row>
    <row r="1413" spans="1:5" s="4" customFormat="1" ht="18" customHeight="1">
      <c r="A1413" s="3" t="str">
        <f>"21342019080213260499626"</f>
        <v>21342019080213260499626</v>
      </c>
      <c r="B1413" s="3" t="s">
        <v>6</v>
      </c>
      <c r="C1413" s="3" t="str">
        <f>"王绥盈"</f>
        <v>王绥盈</v>
      </c>
      <c r="D1413" s="3" t="str">
        <f t="shared" si="23"/>
        <v>女</v>
      </c>
      <c r="E1413" s="3" t="str">
        <f>"1989-10-25"</f>
        <v>1989-10-25</v>
      </c>
    </row>
    <row r="1414" spans="1:5" s="4" customFormat="1" ht="18" customHeight="1">
      <c r="A1414" s="3" t="str">
        <f>"21342019080213275099627"</f>
        <v>21342019080213275099627</v>
      </c>
      <c r="B1414" s="3" t="s">
        <v>6</v>
      </c>
      <c r="C1414" s="3" t="str">
        <f>"吴庆珠"</f>
        <v>吴庆珠</v>
      </c>
      <c r="D1414" s="3" t="str">
        <f t="shared" si="23"/>
        <v>女</v>
      </c>
      <c r="E1414" s="3" t="str">
        <f>"1998-03-16"</f>
        <v>1998-03-16</v>
      </c>
    </row>
    <row r="1415" spans="1:5" s="4" customFormat="1" ht="18" customHeight="1">
      <c r="A1415" s="3" t="str">
        <f>"21342019080213301699628"</f>
        <v>21342019080213301699628</v>
      </c>
      <c r="B1415" s="3" t="s">
        <v>6</v>
      </c>
      <c r="C1415" s="3" t="str">
        <f>"李珠"</f>
        <v>李珠</v>
      </c>
      <c r="D1415" s="3" t="str">
        <f t="shared" si="23"/>
        <v>女</v>
      </c>
      <c r="E1415" s="3" t="str">
        <f>"1996-11-23"</f>
        <v>1996-11-23</v>
      </c>
    </row>
    <row r="1416" spans="1:5" s="4" customFormat="1" ht="18" customHeight="1">
      <c r="A1416" s="3" t="str">
        <f>"21342019080213365899632"</f>
        <v>21342019080213365899632</v>
      </c>
      <c r="B1416" s="3" t="s">
        <v>6</v>
      </c>
      <c r="C1416" s="3" t="str">
        <f>"肖梦娇"</f>
        <v>肖梦娇</v>
      </c>
      <c r="D1416" s="3" t="str">
        <f t="shared" si="23"/>
        <v>女</v>
      </c>
      <c r="E1416" s="3" t="str">
        <f>"1992-05-05"</f>
        <v>1992-05-05</v>
      </c>
    </row>
    <row r="1417" spans="1:5" s="4" customFormat="1" ht="18" customHeight="1">
      <c r="A1417" s="3" t="str">
        <f>"21342019080213375199633"</f>
        <v>21342019080213375199633</v>
      </c>
      <c r="B1417" s="3" t="s">
        <v>6</v>
      </c>
      <c r="C1417" s="3" t="str">
        <f>"刘婆庆"</f>
        <v>刘婆庆</v>
      </c>
      <c r="D1417" s="3" t="str">
        <f t="shared" si="23"/>
        <v>女</v>
      </c>
      <c r="E1417" s="3" t="str">
        <f>"1995-07-19"</f>
        <v>1995-07-19</v>
      </c>
    </row>
    <row r="1418" spans="1:5" s="4" customFormat="1" ht="18" customHeight="1">
      <c r="A1418" s="3" t="str">
        <f>"21342019080213433399637"</f>
        <v>21342019080213433399637</v>
      </c>
      <c r="B1418" s="3" t="s">
        <v>6</v>
      </c>
      <c r="C1418" s="3" t="str">
        <f>"符海颖"</f>
        <v>符海颖</v>
      </c>
      <c r="D1418" s="3" t="str">
        <f t="shared" si="23"/>
        <v>女</v>
      </c>
      <c r="E1418" s="3" t="str">
        <f>"1994-06-02"</f>
        <v>1994-06-02</v>
      </c>
    </row>
    <row r="1419" spans="1:5" s="4" customFormat="1" ht="18" customHeight="1">
      <c r="A1419" s="3" t="str">
        <f>"21342019080213440299638"</f>
        <v>21342019080213440299638</v>
      </c>
      <c r="B1419" s="3" t="s">
        <v>6</v>
      </c>
      <c r="C1419" s="3" t="str">
        <f>"黎琼月"</f>
        <v>黎琼月</v>
      </c>
      <c r="D1419" s="3" t="str">
        <f t="shared" si="23"/>
        <v>女</v>
      </c>
      <c r="E1419" s="3" t="str">
        <f>"1993-01-04"</f>
        <v>1993-01-04</v>
      </c>
    </row>
    <row r="1420" spans="1:5" s="4" customFormat="1" ht="18" customHeight="1">
      <c r="A1420" s="3" t="str">
        <f>"21342019080213562299644"</f>
        <v>21342019080213562299644</v>
      </c>
      <c r="B1420" s="3" t="s">
        <v>6</v>
      </c>
      <c r="C1420" s="3" t="str">
        <f>"王晓"</f>
        <v>王晓</v>
      </c>
      <c r="D1420" s="3" t="str">
        <f t="shared" si="23"/>
        <v>女</v>
      </c>
      <c r="E1420" s="3" t="str">
        <f>"1990-05-09"</f>
        <v>1990-05-09</v>
      </c>
    </row>
    <row r="1421" spans="1:5" s="4" customFormat="1" ht="18" customHeight="1">
      <c r="A1421" s="3" t="str">
        <f>"21342019080214204299655"</f>
        <v>21342019080214204299655</v>
      </c>
      <c r="B1421" s="3" t="s">
        <v>6</v>
      </c>
      <c r="C1421" s="3" t="str">
        <f>"吴万波"</f>
        <v>吴万波</v>
      </c>
      <c r="D1421" s="3" t="str">
        <f t="shared" si="23"/>
        <v>女</v>
      </c>
      <c r="E1421" s="3" t="str">
        <f>"1995-04-28"</f>
        <v>1995-04-28</v>
      </c>
    </row>
    <row r="1422" spans="1:5" s="4" customFormat="1" ht="18" customHeight="1">
      <c r="A1422" s="3" t="str">
        <f>"21342019080214433999661"</f>
        <v>21342019080214433999661</v>
      </c>
      <c r="B1422" s="3" t="s">
        <v>6</v>
      </c>
      <c r="C1422" s="3" t="str">
        <f>"吴若顺"</f>
        <v>吴若顺</v>
      </c>
      <c r="D1422" s="3" t="str">
        <f t="shared" si="23"/>
        <v>女</v>
      </c>
      <c r="E1422" s="3" t="str">
        <f>"1997-06-29"</f>
        <v>1997-06-29</v>
      </c>
    </row>
    <row r="1423" spans="1:5" s="4" customFormat="1" ht="18" customHeight="1">
      <c r="A1423" s="3" t="str">
        <f>"21342019080214473199662"</f>
        <v>21342019080214473199662</v>
      </c>
      <c r="B1423" s="3" t="s">
        <v>6</v>
      </c>
      <c r="C1423" s="3" t="str">
        <f>"王海韵"</f>
        <v>王海韵</v>
      </c>
      <c r="D1423" s="3" t="str">
        <f t="shared" si="23"/>
        <v>女</v>
      </c>
      <c r="E1423" s="3" t="str">
        <f>"1990-02-22"</f>
        <v>1990-02-22</v>
      </c>
    </row>
    <row r="1424" spans="1:5" s="4" customFormat="1" ht="18" customHeight="1">
      <c r="A1424" s="3" t="str">
        <f>"21342019080214594299671"</f>
        <v>21342019080214594299671</v>
      </c>
      <c r="B1424" s="3" t="s">
        <v>6</v>
      </c>
      <c r="C1424" s="3" t="str">
        <f>"朱梦清"</f>
        <v>朱梦清</v>
      </c>
      <c r="D1424" s="3" t="str">
        <f t="shared" si="23"/>
        <v>女</v>
      </c>
      <c r="E1424" s="3" t="str">
        <f>"1991-10-18"</f>
        <v>1991-10-18</v>
      </c>
    </row>
    <row r="1425" spans="1:5" s="4" customFormat="1" ht="18" customHeight="1">
      <c r="A1425" s="3" t="str">
        <f>"21342019080215110999678"</f>
        <v>21342019080215110999678</v>
      </c>
      <c r="B1425" s="3" t="s">
        <v>6</v>
      </c>
      <c r="C1425" s="3" t="str">
        <f>"王桂梅"</f>
        <v>王桂梅</v>
      </c>
      <c r="D1425" s="3" t="str">
        <f t="shared" si="23"/>
        <v>女</v>
      </c>
      <c r="E1425" s="3" t="str">
        <f>"1990-11-05"</f>
        <v>1990-11-05</v>
      </c>
    </row>
    <row r="1426" spans="1:5" s="4" customFormat="1" ht="18" customHeight="1">
      <c r="A1426" s="3" t="str">
        <f>"21342019080215151099682"</f>
        <v>21342019080215151099682</v>
      </c>
      <c r="B1426" s="3" t="s">
        <v>6</v>
      </c>
      <c r="C1426" s="3" t="str">
        <f>"王诗"</f>
        <v>王诗</v>
      </c>
      <c r="D1426" s="3" t="str">
        <f t="shared" si="23"/>
        <v>女</v>
      </c>
      <c r="E1426" s="3" t="str">
        <f>"1990-01-02"</f>
        <v>1990-01-02</v>
      </c>
    </row>
    <row r="1427" spans="1:5" s="4" customFormat="1" ht="18" customHeight="1">
      <c r="A1427" s="3" t="str">
        <f>"21342019080215190699685"</f>
        <v>21342019080215190699685</v>
      </c>
      <c r="B1427" s="3" t="s">
        <v>6</v>
      </c>
      <c r="C1427" s="3" t="str">
        <f>"林成娟"</f>
        <v>林成娟</v>
      </c>
      <c r="D1427" s="3" t="str">
        <f t="shared" si="23"/>
        <v>女</v>
      </c>
      <c r="E1427" s="3" t="str">
        <f>"1996-02-02"</f>
        <v>1996-02-02</v>
      </c>
    </row>
    <row r="1428" spans="1:5" s="4" customFormat="1" ht="18" customHeight="1">
      <c r="A1428" s="3" t="str">
        <f>"21342019080215350799692"</f>
        <v>21342019080215350799692</v>
      </c>
      <c r="B1428" s="3" t="s">
        <v>6</v>
      </c>
      <c r="C1428" s="3" t="str">
        <f>"吴育格"</f>
        <v>吴育格</v>
      </c>
      <c r="D1428" s="3" t="str">
        <f t="shared" si="23"/>
        <v>女</v>
      </c>
      <c r="E1428" s="3" t="str">
        <f>"1996-06-05"</f>
        <v>1996-06-05</v>
      </c>
    </row>
    <row r="1429" spans="1:5" s="4" customFormat="1" ht="18" customHeight="1">
      <c r="A1429" s="3" t="str">
        <f>"21342019080215490699702"</f>
        <v>21342019080215490699702</v>
      </c>
      <c r="B1429" s="3" t="s">
        <v>6</v>
      </c>
      <c r="C1429" s="3" t="str">
        <f>"高新芬"</f>
        <v>高新芬</v>
      </c>
      <c r="D1429" s="3" t="str">
        <f t="shared" si="23"/>
        <v>女</v>
      </c>
      <c r="E1429" s="3" t="str">
        <f>"1990-08-28"</f>
        <v>1990-08-28</v>
      </c>
    </row>
    <row r="1430" spans="1:5" s="4" customFormat="1" ht="18" customHeight="1">
      <c r="A1430" s="3" t="str">
        <f>"21342019080215512199705"</f>
        <v>21342019080215512199705</v>
      </c>
      <c r="B1430" s="3" t="s">
        <v>6</v>
      </c>
      <c r="C1430" s="3" t="str">
        <f>"王英"</f>
        <v>王英</v>
      </c>
      <c r="D1430" s="3" t="str">
        <f t="shared" si="23"/>
        <v>女</v>
      </c>
      <c r="E1430" s="3" t="str">
        <f>"1991-11-09"</f>
        <v>1991-11-09</v>
      </c>
    </row>
    <row r="1431" spans="1:5" s="4" customFormat="1" ht="18" customHeight="1">
      <c r="A1431" s="3" t="str">
        <f>"21342019080215515599706"</f>
        <v>21342019080215515599706</v>
      </c>
      <c r="B1431" s="3" t="s">
        <v>6</v>
      </c>
      <c r="C1431" s="3" t="str">
        <f>"韦雅燕"</f>
        <v>韦雅燕</v>
      </c>
      <c r="D1431" s="3" t="str">
        <f t="shared" si="23"/>
        <v>女</v>
      </c>
      <c r="E1431" s="3" t="str">
        <f>"1994-02-11"</f>
        <v>1994-02-11</v>
      </c>
    </row>
    <row r="1432" spans="1:5" s="4" customFormat="1" ht="18" customHeight="1">
      <c r="A1432" s="3" t="str">
        <f>"21342019080215583199707"</f>
        <v>21342019080215583199707</v>
      </c>
      <c r="B1432" s="3" t="s">
        <v>6</v>
      </c>
      <c r="C1432" s="3" t="str">
        <f>"林芳静"</f>
        <v>林芳静</v>
      </c>
      <c r="D1432" s="3" t="str">
        <f t="shared" si="23"/>
        <v>女</v>
      </c>
      <c r="E1432" s="3" t="str">
        <f>"1997-03-08"</f>
        <v>1997-03-08</v>
      </c>
    </row>
    <row r="1433" spans="1:5" s="4" customFormat="1" ht="18" customHeight="1">
      <c r="A1433" s="3" t="str">
        <f>"21342019080216162099714"</f>
        <v>21342019080216162099714</v>
      </c>
      <c r="B1433" s="3" t="s">
        <v>6</v>
      </c>
      <c r="C1433" s="3" t="str">
        <f>"符红玲"</f>
        <v>符红玲</v>
      </c>
      <c r="D1433" s="3" t="str">
        <f t="shared" si="23"/>
        <v>女</v>
      </c>
      <c r="E1433" s="3" t="str">
        <f>"1991-03-21"</f>
        <v>1991-03-21</v>
      </c>
    </row>
    <row r="1434" spans="1:5" s="4" customFormat="1" ht="18" customHeight="1">
      <c r="A1434" s="3" t="str">
        <f>"21342019080216221399717"</f>
        <v>21342019080216221399717</v>
      </c>
      <c r="B1434" s="3" t="s">
        <v>6</v>
      </c>
      <c r="C1434" s="3" t="str">
        <f>"陈英智"</f>
        <v>陈英智</v>
      </c>
      <c r="D1434" s="3" t="str">
        <f t="shared" si="23"/>
        <v>女</v>
      </c>
      <c r="E1434" s="3" t="str">
        <f>"1991-07-10"</f>
        <v>1991-07-10</v>
      </c>
    </row>
    <row r="1435" spans="1:5" s="4" customFormat="1" ht="18" customHeight="1">
      <c r="A1435" s="3" t="str">
        <f>"21342019080217270499753"</f>
        <v>21342019080217270499753</v>
      </c>
      <c r="B1435" s="3" t="s">
        <v>6</v>
      </c>
      <c r="C1435" s="3" t="str">
        <f>"黄东菊"</f>
        <v>黄东菊</v>
      </c>
      <c r="D1435" s="3" t="str">
        <f t="shared" si="23"/>
        <v>女</v>
      </c>
      <c r="E1435" s="3" t="str">
        <f>"1993-12-12"</f>
        <v>1993-12-12</v>
      </c>
    </row>
    <row r="1436" spans="1:5" s="4" customFormat="1" ht="18" customHeight="1">
      <c r="A1436" s="3" t="str">
        <f>"21342019080217430299761"</f>
        <v>21342019080217430299761</v>
      </c>
      <c r="B1436" s="3" t="s">
        <v>6</v>
      </c>
      <c r="C1436" s="3" t="str">
        <f>"王元妹"</f>
        <v>王元妹</v>
      </c>
      <c r="D1436" s="3" t="str">
        <f t="shared" si="23"/>
        <v>女</v>
      </c>
      <c r="E1436" s="3" t="str">
        <f>"1992-09-20"</f>
        <v>1992-09-20</v>
      </c>
    </row>
    <row r="1437" spans="1:5" s="4" customFormat="1" ht="18" customHeight="1">
      <c r="A1437" s="3" t="str">
        <f>"21342019072708100994262"</f>
        <v>21342019072708100994262</v>
      </c>
      <c r="B1437" s="3" t="s">
        <v>7</v>
      </c>
      <c r="C1437" s="3" t="str">
        <f>"刘剑"</f>
        <v>刘剑</v>
      </c>
      <c r="D1437" s="3" t="str">
        <f aca="true" t="shared" si="24" ref="D1437:D1487">"男"</f>
        <v>男</v>
      </c>
      <c r="E1437" s="3" t="str">
        <f>"1992-01-03"</f>
        <v>1992-01-03</v>
      </c>
    </row>
    <row r="1438" spans="1:5" s="4" customFormat="1" ht="18" customHeight="1">
      <c r="A1438" s="3" t="str">
        <f>"21342019072708463094290"</f>
        <v>21342019072708463094290</v>
      </c>
      <c r="B1438" s="3" t="s">
        <v>7</v>
      </c>
      <c r="C1438" s="3" t="str">
        <f>"王小明"</f>
        <v>王小明</v>
      </c>
      <c r="D1438" s="3" t="str">
        <f t="shared" si="24"/>
        <v>男</v>
      </c>
      <c r="E1438" s="3" t="str">
        <f>"1991-03-21"</f>
        <v>1991-03-21</v>
      </c>
    </row>
    <row r="1439" spans="1:5" s="4" customFormat="1" ht="18" customHeight="1">
      <c r="A1439" s="3" t="str">
        <f>"21342019072709120994324"</f>
        <v>21342019072709120994324</v>
      </c>
      <c r="B1439" s="3" t="s">
        <v>7</v>
      </c>
      <c r="C1439" s="3" t="str">
        <f>"王建星"</f>
        <v>王建星</v>
      </c>
      <c r="D1439" s="3" t="str">
        <f t="shared" si="24"/>
        <v>男</v>
      </c>
      <c r="E1439" s="3" t="str">
        <f>"1993-08-09"</f>
        <v>1993-08-09</v>
      </c>
    </row>
    <row r="1440" spans="1:5" s="4" customFormat="1" ht="18" customHeight="1">
      <c r="A1440" s="3" t="str">
        <f>"21342019072710322294472"</f>
        <v>21342019072710322294472</v>
      </c>
      <c r="B1440" s="3" t="s">
        <v>7</v>
      </c>
      <c r="C1440" s="3" t="str">
        <f>"符标伦"</f>
        <v>符标伦</v>
      </c>
      <c r="D1440" s="3" t="str">
        <f t="shared" si="24"/>
        <v>男</v>
      </c>
      <c r="E1440" s="3" t="str">
        <f>"1996-01-01"</f>
        <v>1996-01-01</v>
      </c>
    </row>
    <row r="1441" spans="1:5" s="4" customFormat="1" ht="18" customHeight="1">
      <c r="A1441" s="3" t="str">
        <f>"21342019072710514094515"</f>
        <v>21342019072710514094515</v>
      </c>
      <c r="B1441" s="3" t="s">
        <v>7</v>
      </c>
      <c r="C1441" s="3" t="str">
        <f>"钟海麟"</f>
        <v>钟海麟</v>
      </c>
      <c r="D1441" s="3" t="str">
        <f t="shared" si="24"/>
        <v>男</v>
      </c>
      <c r="E1441" s="3" t="str">
        <f>"1994-09-17"</f>
        <v>1994-09-17</v>
      </c>
    </row>
    <row r="1442" spans="1:5" s="4" customFormat="1" ht="18" customHeight="1">
      <c r="A1442" s="3" t="str">
        <f>"21342019072711090394552"</f>
        <v>21342019072711090394552</v>
      </c>
      <c r="B1442" s="3" t="s">
        <v>7</v>
      </c>
      <c r="C1442" s="3" t="str">
        <f>"符兴晓"</f>
        <v>符兴晓</v>
      </c>
      <c r="D1442" s="3" t="str">
        <f t="shared" si="24"/>
        <v>男</v>
      </c>
      <c r="E1442" s="3" t="str">
        <f>"1996-07-18"</f>
        <v>1996-07-18</v>
      </c>
    </row>
    <row r="1443" spans="1:5" s="4" customFormat="1" ht="18" customHeight="1">
      <c r="A1443" s="3" t="str">
        <f>"21342019072711302394583"</f>
        <v>21342019072711302394583</v>
      </c>
      <c r="B1443" s="3" t="s">
        <v>7</v>
      </c>
      <c r="C1443" s="3" t="str">
        <f>"邢应"</f>
        <v>邢应</v>
      </c>
      <c r="D1443" s="3" t="str">
        <f t="shared" si="24"/>
        <v>男</v>
      </c>
      <c r="E1443" s="3" t="str">
        <f>"1990-10-21"</f>
        <v>1990-10-21</v>
      </c>
    </row>
    <row r="1444" spans="1:5" s="4" customFormat="1" ht="18" customHeight="1">
      <c r="A1444" s="3" t="str">
        <f>"21342019072712205694660"</f>
        <v>21342019072712205694660</v>
      </c>
      <c r="B1444" s="3" t="s">
        <v>7</v>
      </c>
      <c r="C1444" s="3" t="str">
        <f>"叶高旭"</f>
        <v>叶高旭</v>
      </c>
      <c r="D1444" s="3" t="str">
        <f t="shared" si="24"/>
        <v>男</v>
      </c>
      <c r="E1444" s="3" t="str">
        <f>"1989-10-05"</f>
        <v>1989-10-05</v>
      </c>
    </row>
    <row r="1445" spans="1:5" s="4" customFormat="1" ht="18" customHeight="1">
      <c r="A1445" s="3" t="str">
        <f>"21342019072712440494690"</f>
        <v>21342019072712440494690</v>
      </c>
      <c r="B1445" s="3" t="s">
        <v>7</v>
      </c>
      <c r="C1445" s="3" t="str">
        <f>"陈旭"</f>
        <v>陈旭</v>
      </c>
      <c r="D1445" s="3" t="str">
        <f t="shared" si="24"/>
        <v>男</v>
      </c>
      <c r="E1445" s="3" t="str">
        <f>"1992-10-24"</f>
        <v>1992-10-24</v>
      </c>
    </row>
    <row r="1446" spans="1:5" s="4" customFormat="1" ht="18" customHeight="1">
      <c r="A1446" s="3" t="str">
        <f>"21342019072712584894713"</f>
        <v>21342019072712584894713</v>
      </c>
      <c r="B1446" s="3" t="s">
        <v>7</v>
      </c>
      <c r="C1446" s="3" t="str">
        <f>"江河"</f>
        <v>江河</v>
      </c>
      <c r="D1446" s="3" t="str">
        <f t="shared" si="24"/>
        <v>男</v>
      </c>
      <c r="E1446" s="3" t="str">
        <f>"1992-04-25"</f>
        <v>1992-04-25</v>
      </c>
    </row>
    <row r="1447" spans="1:5" s="4" customFormat="1" ht="18" customHeight="1">
      <c r="A1447" s="3" t="str">
        <f>"21342019072713433494762"</f>
        <v>21342019072713433494762</v>
      </c>
      <c r="B1447" s="3" t="s">
        <v>7</v>
      </c>
      <c r="C1447" s="3" t="str">
        <f>"牛聆涛"</f>
        <v>牛聆涛</v>
      </c>
      <c r="D1447" s="3" t="str">
        <f t="shared" si="24"/>
        <v>男</v>
      </c>
      <c r="E1447" s="3" t="str">
        <f>"1998-08-03"</f>
        <v>1998-08-03</v>
      </c>
    </row>
    <row r="1448" spans="1:5" s="4" customFormat="1" ht="18" customHeight="1">
      <c r="A1448" s="3" t="str">
        <f>"21342019072714074794791"</f>
        <v>21342019072714074794791</v>
      </c>
      <c r="B1448" s="3" t="s">
        <v>7</v>
      </c>
      <c r="C1448" s="3" t="str">
        <f>"陈元凯"</f>
        <v>陈元凯</v>
      </c>
      <c r="D1448" s="3" t="str">
        <f t="shared" si="24"/>
        <v>男</v>
      </c>
      <c r="E1448" s="3" t="str">
        <f>"1995-05-14"</f>
        <v>1995-05-14</v>
      </c>
    </row>
    <row r="1449" spans="1:5" s="4" customFormat="1" ht="18" customHeight="1">
      <c r="A1449" s="3" t="str">
        <f>"21342019072714120294796"</f>
        <v>21342019072714120294796</v>
      </c>
      <c r="B1449" s="3" t="s">
        <v>7</v>
      </c>
      <c r="C1449" s="3" t="str">
        <f>"方海欧"</f>
        <v>方海欧</v>
      </c>
      <c r="D1449" s="3" t="str">
        <f t="shared" si="24"/>
        <v>男</v>
      </c>
      <c r="E1449" s="3" t="str">
        <f>"1996-06-05"</f>
        <v>1996-06-05</v>
      </c>
    </row>
    <row r="1450" spans="1:5" s="4" customFormat="1" ht="18" customHeight="1">
      <c r="A1450" s="3" t="str">
        <f>"21342019072715540194899"</f>
        <v>21342019072715540194899</v>
      </c>
      <c r="B1450" s="3" t="s">
        <v>7</v>
      </c>
      <c r="C1450" s="3" t="str">
        <f>"田聪利"</f>
        <v>田聪利</v>
      </c>
      <c r="D1450" s="3" t="str">
        <f t="shared" si="24"/>
        <v>男</v>
      </c>
      <c r="E1450" s="3" t="str">
        <f>"1992-06-12"</f>
        <v>1992-06-12</v>
      </c>
    </row>
    <row r="1451" spans="1:5" s="4" customFormat="1" ht="18" customHeight="1">
      <c r="A1451" s="3" t="str">
        <f>"21342019072716401794946"</f>
        <v>21342019072716401794946</v>
      </c>
      <c r="B1451" s="3" t="s">
        <v>7</v>
      </c>
      <c r="C1451" s="3" t="str">
        <f>"李章来"</f>
        <v>李章来</v>
      </c>
      <c r="D1451" s="3" t="str">
        <f t="shared" si="24"/>
        <v>男</v>
      </c>
      <c r="E1451" s="3" t="str">
        <f>"1991-06-24"</f>
        <v>1991-06-24</v>
      </c>
    </row>
    <row r="1452" spans="1:5" s="4" customFormat="1" ht="18" customHeight="1">
      <c r="A1452" s="3" t="str">
        <f>"21342019072719373295111"</f>
        <v>21342019072719373295111</v>
      </c>
      <c r="B1452" s="3" t="s">
        <v>7</v>
      </c>
      <c r="C1452" s="3" t="str">
        <f>"孙鹏"</f>
        <v>孙鹏</v>
      </c>
      <c r="D1452" s="3" t="str">
        <f t="shared" si="24"/>
        <v>男</v>
      </c>
      <c r="E1452" s="3" t="str">
        <f>"1993-06-28"</f>
        <v>1993-06-28</v>
      </c>
    </row>
    <row r="1453" spans="1:5" s="4" customFormat="1" ht="18" customHeight="1">
      <c r="A1453" s="3" t="str">
        <f>"21342019072722525295287"</f>
        <v>21342019072722525295287</v>
      </c>
      <c r="B1453" s="3" t="s">
        <v>7</v>
      </c>
      <c r="C1453" s="3" t="str">
        <f>"申一林"</f>
        <v>申一林</v>
      </c>
      <c r="D1453" s="3" t="str">
        <f t="shared" si="24"/>
        <v>男</v>
      </c>
      <c r="E1453" s="3" t="str">
        <f>"1989-11-06"</f>
        <v>1989-11-06</v>
      </c>
    </row>
    <row r="1454" spans="1:5" s="4" customFormat="1" ht="18" customHeight="1">
      <c r="A1454" s="3" t="str">
        <f>"21342019072723050695297"</f>
        <v>21342019072723050695297</v>
      </c>
      <c r="B1454" s="3" t="s">
        <v>7</v>
      </c>
      <c r="C1454" s="3" t="str">
        <f>"陈小俊"</f>
        <v>陈小俊</v>
      </c>
      <c r="D1454" s="3" t="str">
        <f t="shared" si="24"/>
        <v>男</v>
      </c>
      <c r="E1454" s="3" t="str">
        <f>"1993-05-06"</f>
        <v>1993-05-06</v>
      </c>
    </row>
    <row r="1455" spans="1:5" s="4" customFormat="1" ht="18" customHeight="1">
      <c r="A1455" s="3" t="str">
        <f>"21342019072723411195317"</f>
        <v>21342019072723411195317</v>
      </c>
      <c r="B1455" s="3" t="s">
        <v>7</v>
      </c>
      <c r="C1455" s="3" t="str">
        <f>"张杰"</f>
        <v>张杰</v>
      </c>
      <c r="D1455" s="3" t="str">
        <f t="shared" si="24"/>
        <v>男</v>
      </c>
      <c r="E1455" s="3" t="str">
        <f>"1995-03-25"</f>
        <v>1995-03-25</v>
      </c>
    </row>
    <row r="1456" spans="1:5" s="4" customFormat="1" ht="18" customHeight="1">
      <c r="A1456" s="3" t="str">
        <f>"21342019072813025895666"</f>
        <v>21342019072813025895666</v>
      </c>
      <c r="B1456" s="3" t="s">
        <v>7</v>
      </c>
      <c r="C1456" s="3" t="str">
        <f>"盘日林"</f>
        <v>盘日林</v>
      </c>
      <c r="D1456" s="3" t="str">
        <f t="shared" si="24"/>
        <v>男</v>
      </c>
      <c r="E1456" s="3" t="str">
        <f>"1993-07-17"</f>
        <v>1993-07-17</v>
      </c>
    </row>
    <row r="1457" spans="1:5" s="4" customFormat="1" ht="18" customHeight="1">
      <c r="A1457" s="3" t="str">
        <f>"21342019072813201295685"</f>
        <v>21342019072813201295685</v>
      </c>
      <c r="B1457" s="3" t="s">
        <v>7</v>
      </c>
      <c r="C1457" s="3" t="str">
        <f>"韦启业"</f>
        <v>韦启业</v>
      </c>
      <c r="D1457" s="3" t="str">
        <f t="shared" si="24"/>
        <v>男</v>
      </c>
      <c r="E1457" s="3" t="str">
        <f>"1995-08-20"</f>
        <v>1995-08-20</v>
      </c>
    </row>
    <row r="1458" spans="1:5" s="4" customFormat="1" ht="18" customHeight="1">
      <c r="A1458" s="3" t="str">
        <f>"21342019072819115795951"</f>
        <v>21342019072819115795951</v>
      </c>
      <c r="B1458" s="3" t="s">
        <v>7</v>
      </c>
      <c r="C1458" s="3" t="str">
        <f>"张斌"</f>
        <v>张斌</v>
      </c>
      <c r="D1458" s="3" t="str">
        <f t="shared" si="24"/>
        <v>男</v>
      </c>
      <c r="E1458" s="3" t="str">
        <f>"1994-11-18"</f>
        <v>1994-11-18</v>
      </c>
    </row>
    <row r="1459" spans="1:5" s="4" customFormat="1" ht="18" customHeight="1">
      <c r="A1459" s="3" t="str">
        <f>"21342019072819583395971"</f>
        <v>21342019072819583395971</v>
      </c>
      <c r="B1459" s="3" t="s">
        <v>7</v>
      </c>
      <c r="C1459" s="3" t="str">
        <f>"唐国梁"</f>
        <v>唐国梁</v>
      </c>
      <c r="D1459" s="3" t="str">
        <f t="shared" si="24"/>
        <v>男</v>
      </c>
      <c r="E1459" s="3" t="str">
        <f>"1996-09-23"</f>
        <v>1996-09-23</v>
      </c>
    </row>
    <row r="1460" spans="1:5" s="4" customFormat="1" ht="18" customHeight="1">
      <c r="A1460" s="3" t="str">
        <f>"21342019072822342396075"</f>
        <v>21342019072822342396075</v>
      </c>
      <c r="B1460" s="3" t="s">
        <v>7</v>
      </c>
      <c r="C1460" s="3" t="str">
        <f>"黄光锦"</f>
        <v>黄光锦</v>
      </c>
      <c r="D1460" s="3" t="str">
        <f t="shared" si="24"/>
        <v>男</v>
      </c>
      <c r="E1460" s="3" t="str">
        <f>"1993-07-04"</f>
        <v>1993-07-04</v>
      </c>
    </row>
    <row r="1461" spans="1:5" s="4" customFormat="1" ht="18" customHeight="1">
      <c r="A1461" s="3" t="str">
        <f>"21342019072823134496096"</f>
        <v>21342019072823134496096</v>
      </c>
      <c r="B1461" s="3" t="s">
        <v>7</v>
      </c>
      <c r="C1461" s="3" t="str">
        <f>"文天良"</f>
        <v>文天良</v>
      </c>
      <c r="D1461" s="3" t="str">
        <f t="shared" si="24"/>
        <v>男</v>
      </c>
      <c r="E1461" s="3" t="str">
        <f>"1991-10-02"</f>
        <v>1991-10-02</v>
      </c>
    </row>
    <row r="1462" spans="1:5" s="4" customFormat="1" ht="18" customHeight="1">
      <c r="A1462" s="3" t="str">
        <f>"21342019072909025696172"</f>
        <v>21342019072909025696172</v>
      </c>
      <c r="B1462" s="3" t="s">
        <v>7</v>
      </c>
      <c r="C1462" s="3" t="str">
        <f>"陈英攀"</f>
        <v>陈英攀</v>
      </c>
      <c r="D1462" s="3" t="str">
        <f t="shared" si="24"/>
        <v>男</v>
      </c>
      <c r="E1462" s="3" t="str">
        <f>"1991-04-12"</f>
        <v>1991-04-12</v>
      </c>
    </row>
    <row r="1463" spans="1:5" s="4" customFormat="1" ht="18" customHeight="1">
      <c r="A1463" s="3" t="str">
        <f>"21342019072909325296195"</f>
        <v>21342019072909325296195</v>
      </c>
      <c r="B1463" s="3" t="s">
        <v>7</v>
      </c>
      <c r="C1463" s="3" t="str">
        <f>"王孟平"</f>
        <v>王孟平</v>
      </c>
      <c r="D1463" s="3" t="str">
        <f t="shared" si="24"/>
        <v>男</v>
      </c>
      <c r="E1463" s="3" t="str">
        <f>"1990-06-02"</f>
        <v>1990-06-02</v>
      </c>
    </row>
    <row r="1464" spans="1:5" s="4" customFormat="1" ht="18" customHeight="1">
      <c r="A1464" s="3" t="str">
        <f>"21342019072910493196264"</f>
        <v>21342019072910493196264</v>
      </c>
      <c r="B1464" s="3" t="s">
        <v>7</v>
      </c>
      <c r="C1464" s="3" t="str">
        <f>"陈大文"</f>
        <v>陈大文</v>
      </c>
      <c r="D1464" s="3" t="str">
        <f t="shared" si="24"/>
        <v>男</v>
      </c>
      <c r="E1464" s="3" t="str">
        <f>"1991-05-07"</f>
        <v>1991-05-07</v>
      </c>
    </row>
    <row r="1465" spans="1:5" s="4" customFormat="1" ht="18" customHeight="1">
      <c r="A1465" s="3" t="str">
        <f>"21342019072914535596450"</f>
        <v>21342019072914535596450</v>
      </c>
      <c r="B1465" s="3" t="s">
        <v>7</v>
      </c>
      <c r="C1465" s="3" t="str">
        <f>"邱启宏"</f>
        <v>邱启宏</v>
      </c>
      <c r="D1465" s="3" t="str">
        <f t="shared" si="24"/>
        <v>男</v>
      </c>
      <c r="E1465" s="3" t="str">
        <f>"1989-11-27"</f>
        <v>1989-11-27</v>
      </c>
    </row>
    <row r="1466" spans="1:5" s="4" customFormat="1" ht="18" customHeight="1">
      <c r="A1466" s="3" t="str">
        <f>"21342019072915424596497"</f>
        <v>21342019072915424596497</v>
      </c>
      <c r="B1466" s="3" t="s">
        <v>7</v>
      </c>
      <c r="C1466" s="3" t="str">
        <f>"王祖领"</f>
        <v>王祖领</v>
      </c>
      <c r="D1466" s="3" t="str">
        <f t="shared" si="24"/>
        <v>男</v>
      </c>
      <c r="E1466" s="3" t="str">
        <f>"1992-02-06"</f>
        <v>1992-02-06</v>
      </c>
    </row>
    <row r="1467" spans="1:5" s="4" customFormat="1" ht="18" customHeight="1">
      <c r="A1467" s="3" t="str">
        <f>"21342019072919424896650"</f>
        <v>21342019072919424896650</v>
      </c>
      <c r="B1467" s="3" t="s">
        <v>7</v>
      </c>
      <c r="C1467" s="3" t="str">
        <f>"纪新泉"</f>
        <v>纪新泉</v>
      </c>
      <c r="D1467" s="3" t="str">
        <f t="shared" si="24"/>
        <v>男</v>
      </c>
      <c r="E1467" s="3" t="str">
        <f>"1995-05-10"</f>
        <v>1995-05-10</v>
      </c>
    </row>
    <row r="1468" spans="1:5" s="4" customFormat="1" ht="18" customHeight="1">
      <c r="A1468" s="3" t="str">
        <f>"21342019072919434996651"</f>
        <v>21342019072919434996651</v>
      </c>
      <c r="B1468" s="3" t="s">
        <v>7</v>
      </c>
      <c r="C1468" s="3" t="str">
        <f>"李启祯"</f>
        <v>李启祯</v>
      </c>
      <c r="D1468" s="3" t="str">
        <f t="shared" si="24"/>
        <v>男</v>
      </c>
      <c r="E1468" s="3" t="str">
        <f>"1993-08-10"</f>
        <v>1993-08-10</v>
      </c>
    </row>
    <row r="1469" spans="1:5" s="4" customFormat="1" ht="18" customHeight="1">
      <c r="A1469" s="3" t="str">
        <f>"21342019073010223296868"</f>
        <v>21342019073010223296868</v>
      </c>
      <c r="B1469" s="3" t="s">
        <v>7</v>
      </c>
      <c r="C1469" s="3" t="str">
        <f>"符利鹏"</f>
        <v>符利鹏</v>
      </c>
      <c r="D1469" s="3" t="str">
        <f t="shared" si="24"/>
        <v>男</v>
      </c>
      <c r="E1469" s="3" t="str">
        <f>"1992-11-08"</f>
        <v>1992-11-08</v>
      </c>
    </row>
    <row r="1470" spans="1:5" s="4" customFormat="1" ht="18" customHeight="1">
      <c r="A1470" s="3" t="str">
        <f>"21342019073010241396871"</f>
        <v>21342019073010241396871</v>
      </c>
      <c r="B1470" s="3" t="s">
        <v>7</v>
      </c>
      <c r="C1470" s="3" t="str">
        <f>"何宁"</f>
        <v>何宁</v>
      </c>
      <c r="D1470" s="3" t="str">
        <f t="shared" si="24"/>
        <v>男</v>
      </c>
      <c r="E1470" s="3" t="str">
        <f>"1993-09-09"</f>
        <v>1993-09-09</v>
      </c>
    </row>
    <row r="1471" spans="1:5" s="4" customFormat="1" ht="18" customHeight="1">
      <c r="A1471" s="3" t="str">
        <f>"21342019073011162896909"</f>
        <v>21342019073011162896909</v>
      </c>
      <c r="B1471" s="3" t="s">
        <v>7</v>
      </c>
      <c r="C1471" s="3" t="str">
        <f>"陈宏山"</f>
        <v>陈宏山</v>
      </c>
      <c r="D1471" s="3" t="str">
        <f t="shared" si="24"/>
        <v>男</v>
      </c>
      <c r="E1471" s="3" t="str">
        <f>"1991-05-04"</f>
        <v>1991-05-04</v>
      </c>
    </row>
    <row r="1472" spans="1:5" s="4" customFormat="1" ht="18" customHeight="1">
      <c r="A1472" s="3" t="str">
        <f>"21342019073011190296914"</f>
        <v>21342019073011190296914</v>
      </c>
      <c r="B1472" s="3" t="s">
        <v>7</v>
      </c>
      <c r="C1472" s="3" t="str">
        <f>"林志伟"</f>
        <v>林志伟</v>
      </c>
      <c r="D1472" s="3" t="str">
        <f t="shared" si="24"/>
        <v>男</v>
      </c>
      <c r="E1472" s="3" t="str">
        <f>"1994-11-06"</f>
        <v>1994-11-06</v>
      </c>
    </row>
    <row r="1473" spans="1:5" s="4" customFormat="1" ht="18" customHeight="1">
      <c r="A1473" s="3" t="str">
        <f>"21342019073011445596939"</f>
        <v>21342019073011445596939</v>
      </c>
      <c r="B1473" s="3" t="s">
        <v>7</v>
      </c>
      <c r="C1473" s="3" t="str">
        <f>"王咸机"</f>
        <v>王咸机</v>
      </c>
      <c r="D1473" s="3" t="str">
        <f t="shared" si="24"/>
        <v>男</v>
      </c>
      <c r="E1473" s="3" t="str">
        <f>"1994-05-02"</f>
        <v>1994-05-02</v>
      </c>
    </row>
    <row r="1474" spans="1:5" s="4" customFormat="1" ht="18" customHeight="1">
      <c r="A1474" s="3" t="str">
        <f>"21342019073016574497091"</f>
        <v>21342019073016574497091</v>
      </c>
      <c r="B1474" s="3" t="s">
        <v>7</v>
      </c>
      <c r="C1474" s="3" t="str">
        <f>"吴可斌"</f>
        <v>吴可斌</v>
      </c>
      <c r="D1474" s="3" t="str">
        <f t="shared" si="24"/>
        <v>男</v>
      </c>
      <c r="E1474" s="3" t="str">
        <f>"1993-04-14"</f>
        <v>1993-04-14</v>
      </c>
    </row>
    <row r="1475" spans="1:5" s="4" customFormat="1" ht="18" customHeight="1">
      <c r="A1475" s="3" t="str">
        <f>"21342019073110410097688"</f>
        <v>21342019073110410097688</v>
      </c>
      <c r="B1475" s="3" t="s">
        <v>7</v>
      </c>
      <c r="C1475" s="3" t="str">
        <f>"莫端"</f>
        <v>莫端</v>
      </c>
      <c r="D1475" s="3" t="str">
        <f t="shared" si="24"/>
        <v>男</v>
      </c>
      <c r="E1475" s="3" t="str">
        <f>"1993-04-01"</f>
        <v>1993-04-01</v>
      </c>
    </row>
    <row r="1476" spans="1:5" s="4" customFormat="1" ht="18" customHeight="1">
      <c r="A1476" s="3" t="str">
        <f>"21342019073112144097857"</f>
        <v>21342019073112144097857</v>
      </c>
      <c r="B1476" s="3" t="s">
        <v>7</v>
      </c>
      <c r="C1476" s="3" t="str">
        <f>"王有腾"</f>
        <v>王有腾</v>
      </c>
      <c r="D1476" s="3" t="str">
        <f t="shared" si="24"/>
        <v>男</v>
      </c>
      <c r="E1476" s="3" t="str">
        <f>"1992-06-11"</f>
        <v>1992-06-11</v>
      </c>
    </row>
    <row r="1477" spans="1:5" s="4" customFormat="1" ht="18" customHeight="1">
      <c r="A1477" s="3" t="str">
        <f>"21342019073114265198051"</f>
        <v>21342019073114265198051</v>
      </c>
      <c r="B1477" s="3" t="s">
        <v>7</v>
      </c>
      <c r="C1477" s="3" t="str">
        <f>"郑童夫"</f>
        <v>郑童夫</v>
      </c>
      <c r="D1477" s="3" t="str">
        <f t="shared" si="24"/>
        <v>男</v>
      </c>
      <c r="E1477" s="3" t="str">
        <f>"1991-08-03"</f>
        <v>1991-08-03</v>
      </c>
    </row>
    <row r="1478" spans="1:5" s="4" customFormat="1" ht="18" customHeight="1">
      <c r="A1478" s="3" t="str">
        <f>"21342019073117374198302"</f>
        <v>21342019073117374198302</v>
      </c>
      <c r="B1478" s="3" t="s">
        <v>7</v>
      </c>
      <c r="C1478" s="3" t="str">
        <f>"李俊"</f>
        <v>李俊</v>
      </c>
      <c r="D1478" s="3" t="str">
        <f t="shared" si="24"/>
        <v>男</v>
      </c>
      <c r="E1478" s="3" t="str">
        <f>"1994-03-30"</f>
        <v>1994-03-30</v>
      </c>
    </row>
    <row r="1479" spans="1:5" s="4" customFormat="1" ht="18" customHeight="1">
      <c r="A1479" s="3" t="str">
        <f>"21342019073119275898386"</f>
        <v>21342019073119275898386</v>
      </c>
      <c r="B1479" s="3" t="s">
        <v>7</v>
      </c>
      <c r="C1479" s="3" t="str">
        <f>"王成才"</f>
        <v>王成才</v>
      </c>
      <c r="D1479" s="3" t="str">
        <f t="shared" si="24"/>
        <v>男</v>
      </c>
      <c r="E1479" s="3" t="str">
        <f>"1990-05-03"</f>
        <v>1990-05-03</v>
      </c>
    </row>
    <row r="1480" spans="1:5" s="4" customFormat="1" ht="18" customHeight="1">
      <c r="A1480" s="3" t="str">
        <f>"21342019073121443098464"</f>
        <v>21342019073121443098464</v>
      </c>
      <c r="B1480" s="3" t="s">
        <v>7</v>
      </c>
      <c r="C1480" s="3" t="str">
        <f>"孙耀煌"</f>
        <v>孙耀煌</v>
      </c>
      <c r="D1480" s="3" t="str">
        <f t="shared" si="24"/>
        <v>男</v>
      </c>
      <c r="E1480" s="3" t="str">
        <f>"1997-07-04"</f>
        <v>1997-07-04</v>
      </c>
    </row>
    <row r="1481" spans="1:5" s="4" customFormat="1" ht="18" customHeight="1">
      <c r="A1481" s="3" t="str">
        <f>"21342019073122220198487"</f>
        <v>21342019073122220198487</v>
      </c>
      <c r="B1481" s="3" t="s">
        <v>7</v>
      </c>
      <c r="C1481" s="3" t="str">
        <f>"傅成"</f>
        <v>傅成</v>
      </c>
      <c r="D1481" s="3" t="str">
        <f t="shared" si="24"/>
        <v>男</v>
      </c>
      <c r="E1481" s="3" t="str">
        <f>"1997-12-01"</f>
        <v>1997-12-01</v>
      </c>
    </row>
    <row r="1482" spans="1:5" s="4" customFormat="1" ht="18" customHeight="1">
      <c r="A1482" s="3" t="str">
        <f>"21342019080110551598801"</f>
        <v>21342019080110551598801</v>
      </c>
      <c r="B1482" s="3" t="s">
        <v>7</v>
      </c>
      <c r="C1482" s="3" t="str">
        <f>"许江"</f>
        <v>许江</v>
      </c>
      <c r="D1482" s="3" t="str">
        <f t="shared" si="24"/>
        <v>男</v>
      </c>
      <c r="E1482" s="3" t="str">
        <f>"1991-09-20"</f>
        <v>1991-09-20</v>
      </c>
    </row>
    <row r="1483" spans="1:5" s="4" customFormat="1" ht="18" customHeight="1">
      <c r="A1483" s="3" t="str">
        <f>"21342019080114182398950"</f>
        <v>21342019080114182398950</v>
      </c>
      <c r="B1483" s="3" t="s">
        <v>7</v>
      </c>
      <c r="C1483" s="3" t="str">
        <f>"陈邦干"</f>
        <v>陈邦干</v>
      </c>
      <c r="D1483" s="3" t="str">
        <f t="shared" si="24"/>
        <v>男</v>
      </c>
      <c r="E1483" s="3" t="str">
        <f>"1990-02-23"</f>
        <v>1990-02-23</v>
      </c>
    </row>
    <row r="1484" spans="1:5" s="4" customFormat="1" ht="18" customHeight="1">
      <c r="A1484" s="3" t="str">
        <f>"21342019080119593299238"</f>
        <v>21342019080119593299238</v>
      </c>
      <c r="B1484" s="3" t="s">
        <v>7</v>
      </c>
      <c r="C1484" s="3" t="str">
        <f>"王运来"</f>
        <v>王运来</v>
      </c>
      <c r="D1484" s="3" t="str">
        <f t="shared" si="24"/>
        <v>男</v>
      </c>
      <c r="E1484" s="3" t="str">
        <f>"1993-08-17"</f>
        <v>1993-08-17</v>
      </c>
    </row>
    <row r="1485" spans="1:5" s="4" customFormat="1" ht="18" customHeight="1">
      <c r="A1485" s="3" t="str">
        <f>"21342019080121471699303"</f>
        <v>21342019080121471699303</v>
      </c>
      <c r="B1485" s="3" t="s">
        <v>7</v>
      </c>
      <c r="C1485" s="3" t="str">
        <f>"胡宜树"</f>
        <v>胡宜树</v>
      </c>
      <c r="D1485" s="3" t="str">
        <f t="shared" si="24"/>
        <v>男</v>
      </c>
      <c r="E1485" s="3" t="str">
        <f>"1990-09-18"</f>
        <v>1990-09-18</v>
      </c>
    </row>
    <row r="1486" spans="1:5" s="4" customFormat="1" ht="18" customHeight="1">
      <c r="A1486" s="3" t="str">
        <f>"21342019080122074799319"</f>
        <v>21342019080122074799319</v>
      </c>
      <c r="B1486" s="3" t="s">
        <v>7</v>
      </c>
      <c r="C1486" s="3" t="str">
        <f>"吴柏霖"</f>
        <v>吴柏霖</v>
      </c>
      <c r="D1486" s="3" t="str">
        <f t="shared" si="24"/>
        <v>男</v>
      </c>
      <c r="E1486" s="3" t="str">
        <f>"1990-01-27"</f>
        <v>1990-01-27</v>
      </c>
    </row>
    <row r="1487" spans="1:5" s="4" customFormat="1" ht="18" customHeight="1">
      <c r="A1487" s="3" t="str">
        <f>"21342019080211485199574"</f>
        <v>21342019080211485199574</v>
      </c>
      <c r="B1487" s="3" t="s">
        <v>7</v>
      </c>
      <c r="C1487" s="3" t="str">
        <f>"文开琼"</f>
        <v>文开琼</v>
      </c>
      <c r="D1487" s="3" t="str">
        <f t="shared" si="24"/>
        <v>男</v>
      </c>
      <c r="E1487" s="3" t="str">
        <f>"1996-04-04"</f>
        <v>1996-04-04</v>
      </c>
    </row>
  </sheetData>
  <sheetProtection password="EF7F" sheet="1" objects="1"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王梁茏</cp:lastModifiedBy>
  <cp:lastPrinted>2019-08-13T08:49:44Z</cp:lastPrinted>
  <dcterms:created xsi:type="dcterms:W3CDTF">2019-08-12T04:32:10Z</dcterms:created>
  <dcterms:modified xsi:type="dcterms:W3CDTF">2019-08-13T08:50:09Z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