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22056" windowHeight="9264"/>
  </bookViews>
  <sheets>
    <sheet name="教育 (总成绩)" sheetId="1" r:id="rId1"/>
  </sheets>
  <definedNames>
    <definedName name="_xlnm._FilterDatabase" localSheetId="0" hidden="1">'教育 (总成绩)'!$A$3:$G$192</definedName>
    <definedName name="_xlnm.Print_Area" localSheetId="0">'教育 (总成绩)'!$A$1:$G$192</definedName>
    <definedName name="_xlnm.Print_Titles" localSheetId="0">'教育 (总成绩)'!$3:$3</definedName>
  </definedNames>
  <calcPr calcId="144525"/>
</workbook>
</file>

<file path=xl/calcChain.xml><?xml version="1.0" encoding="utf-8"?>
<calcChain xmlns="http://schemas.openxmlformats.org/spreadsheetml/2006/main">
  <c r="A4" i="1" l="1"/>
  <c r="F4" i="1"/>
  <c r="A5" i="1"/>
  <c r="F5" i="1"/>
  <c r="A6" i="1"/>
  <c r="F6" i="1"/>
  <c r="A7" i="1"/>
  <c r="F7" i="1"/>
  <c r="A8" i="1"/>
  <c r="F8" i="1"/>
  <c r="A9" i="1"/>
  <c r="F9" i="1"/>
  <c r="A10" i="1"/>
  <c r="F10" i="1"/>
  <c r="A11" i="1"/>
  <c r="F11" i="1"/>
  <c r="A12" i="1"/>
  <c r="F12" i="1"/>
  <c r="A13" i="1"/>
  <c r="F13" i="1"/>
  <c r="A14" i="1"/>
  <c r="F14" i="1"/>
  <c r="A15" i="1"/>
  <c r="F15" i="1"/>
  <c r="A16" i="1"/>
  <c r="F16" i="1"/>
  <c r="A17" i="1"/>
  <c r="F17" i="1"/>
  <c r="A18" i="1"/>
  <c r="F18" i="1"/>
  <c r="A19" i="1"/>
  <c r="F19" i="1"/>
  <c r="A20" i="1"/>
  <c r="F20" i="1"/>
  <c r="A21" i="1"/>
  <c r="F21" i="1"/>
  <c r="A22" i="1"/>
  <c r="F22" i="1"/>
  <c r="A23" i="1"/>
  <c r="F23" i="1"/>
  <c r="A24" i="1"/>
  <c r="F24" i="1"/>
  <c r="A25" i="1"/>
  <c r="F25" i="1"/>
  <c r="A26" i="1"/>
  <c r="F26" i="1"/>
  <c r="A27" i="1"/>
  <c r="F27" i="1"/>
  <c r="A28" i="1"/>
  <c r="F28" i="1"/>
  <c r="A29" i="1"/>
  <c r="F29" i="1"/>
  <c r="A30" i="1"/>
  <c r="F30" i="1"/>
  <c r="A31" i="1"/>
  <c r="F31" i="1"/>
  <c r="A32" i="1"/>
  <c r="F32" i="1"/>
  <c r="A33" i="1"/>
  <c r="A34" i="1"/>
  <c r="A35" i="1"/>
  <c r="F35" i="1"/>
  <c r="A36" i="1"/>
  <c r="F36" i="1"/>
  <c r="A37" i="1"/>
  <c r="F37" i="1"/>
  <c r="A38" i="1"/>
  <c r="F38" i="1"/>
  <c r="A39" i="1"/>
  <c r="F39" i="1"/>
  <c r="A40" i="1"/>
  <c r="F40" i="1"/>
  <c r="A41" i="1"/>
  <c r="F41" i="1"/>
  <c r="A42" i="1"/>
  <c r="F42" i="1"/>
  <c r="A43" i="1"/>
  <c r="F43" i="1"/>
  <c r="A44" i="1"/>
  <c r="F44" i="1"/>
  <c r="A45" i="1"/>
  <c r="F45" i="1"/>
  <c r="A46" i="1"/>
  <c r="A47" i="1"/>
  <c r="A48" i="1"/>
  <c r="F48" i="1"/>
  <c r="A49" i="1"/>
  <c r="F49" i="1"/>
  <c r="A50" i="1"/>
  <c r="F50" i="1"/>
  <c r="A51" i="1"/>
  <c r="F51" i="1"/>
  <c r="A52" i="1"/>
  <c r="F52" i="1"/>
  <c r="A53" i="1"/>
  <c r="F53" i="1"/>
  <c r="A54" i="1"/>
  <c r="F54" i="1"/>
  <c r="A55" i="1"/>
  <c r="F55" i="1"/>
  <c r="A56" i="1"/>
  <c r="F56" i="1"/>
  <c r="A57" i="1"/>
  <c r="A58" i="1"/>
  <c r="F58" i="1"/>
  <c r="A59" i="1"/>
  <c r="F59" i="1"/>
  <c r="A60" i="1"/>
  <c r="F60" i="1"/>
  <c r="A61" i="1"/>
  <c r="F61" i="1"/>
  <c r="A62" i="1"/>
  <c r="F62" i="1"/>
  <c r="A63" i="1"/>
  <c r="F63" i="1"/>
  <c r="A64" i="1"/>
  <c r="F64" i="1"/>
  <c r="A65" i="1"/>
  <c r="F65" i="1"/>
  <c r="A66" i="1"/>
  <c r="F66" i="1"/>
  <c r="A67" i="1"/>
  <c r="F67" i="1"/>
  <c r="A68" i="1"/>
  <c r="F68" i="1"/>
  <c r="A69" i="1"/>
  <c r="F69" i="1"/>
  <c r="A70" i="1"/>
  <c r="F70" i="1"/>
  <c r="A71" i="1"/>
  <c r="F71" i="1"/>
  <c r="A72" i="1"/>
  <c r="F72" i="1"/>
  <c r="A73" i="1"/>
  <c r="F73" i="1"/>
  <c r="A74" i="1"/>
  <c r="F74" i="1"/>
  <c r="A75" i="1"/>
  <c r="F75" i="1"/>
  <c r="A76" i="1"/>
  <c r="F76" i="1"/>
  <c r="A77" i="1"/>
  <c r="F77" i="1"/>
  <c r="A78" i="1"/>
  <c r="F78" i="1"/>
  <c r="A79" i="1"/>
  <c r="F79" i="1"/>
  <c r="A80" i="1"/>
  <c r="F80" i="1"/>
  <c r="A81" i="1"/>
  <c r="F81" i="1"/>
  <c r="A82" i="1"/>
  <c r="F82" i="1"/>
  <c r="A83" i="1"/>
  <c r="F83" i="1"/>
  <c r="A84" i="1"/>
  <c r="F84" i="1"/>
  <c r="A85" i="1"/>
  <c r="F85" i="1"/>
  <c r="A86" i="1"/>
  <c r="F86" i="1"/>
  <c r="A87" i="1"/>
  <c r="F87" i="1"/>
  <c r="A88" i="1"/>
  <c r="F88" i="1"/>
  <c r="A89" i="1"/>
  <c r="F89" i="1"/>
  <c r="A90" i="1"/>
  <c r="F90" i="1"/>
  <c r="A91" i="1"/>
  <c r="F91" i="1"/>
  <c r="A92" i="1"/>
  <c r="F92" i="1"/>
  <c r="A93" i="1"/>
  <c r="F93" i="1"/>
  <c r="A94" i="1"/>
  <c r="F94" i="1"/>
  <c r="A95" i="1"/>
  <c r="F95" i="1"/>
  <c r="A96" i="1"/>
  <c r="F96" i="1"/>
  <c r="A97" i="1"/>
  <c r="F97" i="1"/>
  <c r="A98" i="1"/>
  <c r="F98" i="1"/>
  <c r="A99" i="1"/>
  <c r="F99" i="1"/>
  <c r="A100" i="1"/>
  <c r="F100" i="1"/>
  <c r="A101" i="1"/>
  <c r="F101" i="1"/>
  <c r="A102" i="1"/>
  <c r="F102" i="1"/>
  <c r="A103" i="1"/>
  <c r="F103" i="1"/>
  <c r="A104" i="1"/>
  <c r="F104" i="1"/>
  <c r="A105" i="1"/>
  <c r="F105" i="1"/>
  <c r="A106" i="1"/>
  <c r="F106" i="1"/>
  <c r="A107" i="1"/>
  <c r="F107" i="1"/>
  <c r="A108" i="1"/>
  <c r="F108" i="1"/>
  <c r="A109" i="1"/>
  <c r="F109" i="1"/>
  <c r="A110" i="1"/>
  <c r="A111" i="1"/>
  <c r="A112" i="1"/>
  <c r="A113" i="1"/>
  <c r="F113" i="1"/>
  <c r="A114" i="1"/>
  <c r="F114" i="1"/>
  <c r="A115" i="1"/>
  <c r="F115" i="1"/>
  <c r="A116" i="1"/>
  <c r="F116" i="1"/>
  <c r="A117" i="1"/>
  <c r="F117" i="1"/>
  <c r="A118" i="1"/>
  <c r="F118" i="1"/>
  <c r="A119" i="1"/>
  <c r="F119" i="1"/>
  <c r="A120" i="1"/>
  <c r="F120" i="1"/>
  <c r="A121" i="1"/>
  <c r="F121" i="1"/>
  <c r="A122" i="1"/>
  <c r="F122" i="1"/>
  <c r="A123" i="1"/>
  <c r="F123" i="1"/>
  <c r="A124" i="1"/>
  <c r="F124" i="1"/>
  <c r="A125" i="1"/>
  <c r="F125" i="1"/>
  <c r="A126" i="1"/>
  <c r="F126" i="1"/>
  <c r="A127" i="1"/>
  <c r="F127" i="1"/>
  <c r="A128" i="1"/>
  <c r="F128" i="1"/>
  <c r="A129" i="1"/>
  <c r="F129" i="1"/>
  <c r="A130" i="1"/>
  <c r="F130" i="1"/>
  <c r="A131" i="1"/>
  <c r="F131" i="1"/>
  <c r="A132" i="1"/>
  <c r="F132" i="1"/>
  <c r="A133" i="1"/>
  <c r="F133" i="1"/>
  <c r="A134" i="1"/>
  <c r="F134" i="1"/>
  <c r="A135" i="1"/>
  <c r="F135" i="1"/>
  <c r="A136" i="1"/>
  <c r="F136" i="1"/>
  <c r="A137" i="1"/>
  <c r="F137" i="1"/>
  <c r="A138" i="1"/>
  <c r="F138" i="1"/>
  <c r="A139" i="1"/>
  <c r="F139" i="1"/>
  <c r="A140" i="1"/>
  <c r="F140" i="1"/>
  <c r="A141" i="1"/>
  <c r="F141" i="1"/>
  <c r="A142" i="1"/>
  <c r="F142" i="1"/>
  <c r="A143" i="1"/>
  <c r="F143" i="1"/>
  <c r="A144" i="1"/>
  <c r="F144" i="1"/>
  <c r="A145" i="1"/>
  <c r="F145" i="1"/>
  <c r="A146" i="1"/>
  <c r="F146" i="1"/>
  <c r="A147" i="1"/>
  <c r="F147" i="1"/>
  <c r="A148" i="1"/>
  <c r="F148" i="1"/>
  <c r="A149" i="1"/>
  <c r="F149" i="1"/>
  <c r="A150" i="1"/>
  <c r="F150" i="1"/>
  <c r="A151" i="1"/>
  <c r="F151" i="1"/>
  <c r="A152" i="1"/>
  <c r="F152" i="1"/>
  <c r="A153" i="1"/>
  <c r="F153" i="1"/>
  <c r="A154" i="1"/>
  <c r="F154" i="1"/>
  <c r="A155" i="1"/>
  <c r="F155" i="1"/>
  <c r="A156" i="1"/>
  <c r="F156" i="1"/>
  <c r="A157" i="1"/>
  <c r="F157" i="1"/>
  <c r="A158" i="1"/>
  <c r="F158" i="1"/>
  <c r="A159" i="1"/>
  <c r="F159" i="1"/>
  <c r="A160" i="1"/>
  <c r="F160" i="1"/>
  <c r="A161" i="1"/>
  <c r="F161" i="1"/>
  <c r="A162" i="1"/>
  <c r="F162" i="1"/>
  <c r="A163" i="1"/>
  <c r="F163" i="1"/>
  <c r="A164" i="1"/>
  <c r="F164" i="1"/>
  <c r="A165" i="1"/>
  <c r="F165" i="1"/>
  <c r="A166" i="1"/>
  <c r="F166" i="1"/>
  <c r="A167" i="1"/>
  <c r="F167" i="1"/>
  <c r="A168" i="1"/>
  <c r="F168" i="1"/>
  <c r="A169" i="1"/>
  <c r="F169" i="1"/>
  <c r="A170" i="1"/>
  <c r="F170" i="1"/>
  <c r="A171" i="1"/>
  <c r="F171" i="1"/>
  <c r="A172" i="1"/>
  <c r="F172" i="1"/>
  <c r="A173" i="1"/>
  <c r="A174" i="1"/>
  <c r="A175" i="1"/>
  <c r="F175" i="1"/>
  <c r="A176" i="1"/>
  <c r="F176" i="1"/>
  <c r="A177" i="1"/>
  <c r="F177" i="1"/>
  <c r="A178" i="1"/>
  <c r="F178" i="1"/>
  <c r="A179" i="1"/>
  <c r="F179" i="1"/>
  <c r="A180" i="1"/>
  <c r="F180" i="1"/>
  <c r="A181" i="1"/>
  <c r="F181" i="1"/>
  <c r="A182" i="1"/>
  <c r="F182" i="1"/>
  <c r="A183" i="1"/>
  <c r="F183" i="1"/>
  <c r="A184" i="1"/>
  <c r="F184" i="1"/>
  <c r="A185" i="1"/>
  <c r="F185" i="1"/>
  <c r="A186" i="1"/>
  <c r="F186" i="1"/>
  <c r="A187" i="1"/>
  <c r="F187" i="1"/>
  <c r="A188" i="1"/>
  <c r="F188" i="1"/>
  <c r="A189" i="1"/>
  <c r="F189" i="1"/>
  <c r="A190" i="1"/>
  <c r="F190" i="1"/>
  <c r="A191" i="1"/>
  <c r="F191" i="1"/>
  <c r="A192" i="1"/>
  <c r="F192" i="1"/>
</calcChain>
</file>

<file path=xl/sharedStrings.xml><?xml version="1.0" encoding="utf-8"?>
<sst xmlns="http://schemas.openxmlformats.org/spreadsheetml/2006/main" count="208" uniqueCount="27">
  <si>
    <t>2007_小学音乐</t>
  </si>
  <si>
    <t>2006_小学体育</t>
  </si>
  <si>
    <t>2005_小学美术</t>
  </si>
  <si>
    <t>2004_小学计算机</t>
  </si>
  <si>
    <t>缺考</t>
    <phoneticPr fontId="1" type="noConversion"/>
  </si>
  <si>
    <t>2003_小学英语</t>
  </si>
  <si>
    <t>2002_小学数学</t>
  </si>
  <si>
    <t>缺考</t>
    <phoneticPr fontId="1" type="noConversion"/>
  </si>
  <si>
    <t>2001_小学语文</t>
  </si>
  <si>
    <t>1009_高中地理</t>
  </si>
  <si>
    <t>1008_高中历史</t>
  </si>
  <si>
    <t>1007_高中政治</t>
  </si>
  <si>
    <t>1006_高中生物</t>
  </si>
  <si>
    <t>1005_高中化学</t>
  </si>
  <si>
    <t>1004_高中物理</t>
  </si>
  <si>
    <t>1003_高中英语</t>
  </si>
  <si>
    <t>1002_高中数学</t>
  </si>
  <si>
    <t>1001_高中语文</t>
  </si>
  <si>
    <t>备注</t>
    <phoneticPr fontId="1" type="noConversion"/>
  </si>
  <si>
    <t>总成绩</t>
    <phoneticPr fontId="1" type="noConversion"/>
  </si>
  <si>
    <t>面试成绩</t>
    <phoneticPr fontId="1" type="noConversion"/>
  </si>
  <si>
    <t>笔试最终成绩</t>
    <phoneticPr fontId="1" type="noConversion"/>
  </si>
  <si>
    <t>报考岗位</t>
  </si>
  <si>
    <t>准考证号</t>
  </si>
  <si>
    <t>姓名</t>
  </si>
  <si>
    <t>2019年新野县公开招聘教师考试总成绩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</si>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</sst>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_ "/>
    <numFmt numFmtId="178" formatCode="0.0_ "/>
  </numFmts>
  <fonts count="6"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92"/>
  <sheetViews>
    <sheetView tabSelected="1" view="pageBreakPreview" zoomScaleNormal="100" zoomScaleSheetLayoutView="100" workbookViewId="0">
      <selection activeCell="A2" sqref="A2:G2"/>
    </sheetView>
  </sheetViews>
  <sheetFormatPr defaultColWidth="9" defaultRowHeight="15.6"/>
  <cols>
    <col min="1" max="1" width="6.3984375" style="2" customWidth="1"/>
    <col min="2" max="2" width="8" style="2" customWidth="1"/>
    <col min="3" max="3" width="13.59765625" style="2" customWidth="1"/>
    <col min="4" max="4" width="6.19921875" style="4" customWidth="1"/>
    <col min="5" max="5" width="8.09765625" style="3" customWidth="1"/>
    <col min="6" max="6" width="7.09765625" style="3" customWidth="1"/>
    <col min="7" max="7" width="13.59765625" style="2" customWidth="1"/>
    <col min="8" max="16384" width="9" style="1"/>
  </cols>
  <sheetData>
    <row r="1" spans="1:7" ht="20.399999999999999" customHeight="1">
      <c r="A1" s="2" t="s">
        <v>26</v>
      </c>
    </row>
    <row r="2" spans="1:7" ht="26.4" customHeight="1">
      <c r="A2" s="19" t="s">
        <v>25</v>
      </c>
      <c r="B2" s="19"/>
      <c r="C2" s="19"/>
      <c r="D2" s="19"/>
      <c r="E2" s="19"/>
      <c r="F2" s="19"/>
      <c r="G2" s="19"/>
    </row>
    <row r="3" spans="1:7" s="15" customFormat="1" ht="23.4" customHeight="1">
      <c r="A3" s="16" t="s">
        <v>24</v>
      </c>
      <c r="B3" s="16" t="s">
        <v>23</v>
      </c>
      <c r="C3" s="16" t="s">
        <v>22</v>
      </c>
      <c r="D3" s="18" t="s">
        <v>21</v>
      </c>
      <c r="E3" s="17" t="s">
        <v>20</v>
      </c>
      <c r="F3" s="17" t="s">
        <v>19</v>
      </c>
      <c r="G3" s="16" t="s">
        <v>18</v>
      </c>
    </row>
    <row r="4" spans="1:7" ht="21" customHeight="1">
      <c r="A4" s="8" t="str">
        <f>"史阅凡"</f>
        <v>史阅凡</v>
      </c>
      <c r="B4" s="8">
        <v>20190111</v>
      </c>
      <c r="C4" s="8" t="s">
        <v>17</v>
      </c>
      <c r="D4" s="7">
        <v>79.5</v>
      </c>
      <c r="E4" s="6">
        <v>87.571428571428598</v>
      </c>
      <c r="F4" s="6">
        <f>D4*0.4+E4*0.6</f>
        <v>84.342857142857156</v>
      </c>
      <c r="G4" s="5"/>
    </row>
    <row r="5" spans="1:7" ht="21" customHeight="1">
      <c r="A5" s="8" t="str">
        <f>"刘莹"</f>
        <v>刘莹</v>
      </c>
      <c r="B5" s="8">
        <v>20190108</v>
      </c>
      <c r="C5" s="8" t="s">
        <v>17</v>
      </c>
      <c r="D5" s="7">
        <v>77.5</v>
      </c>
      <c r="E5" s="6">
        <v>87.857142857142904</v>
      </c>
      <c r="F5" s="6">
        <f>D5*0.4+E5*0.6</f>
        <v>83.714285714285751</v>
      </c>
      <c r="G5" s="5"/>
    </row>
    <row r="6" spans="1:7" ht="21" customHeight="1">
      <c r="A6" s="8" t="str">
        <f>"林倩"</f>
        <v>林倩</v>
      </c>
      <c r="B6" s="8">
        <v>20190105</v>
      </c>
      <c r="C6" s="8" t="s">
        <v>17</v>
      </c>
      <c r="D6" s="7">
        <v>79</v>
      </c>
      <c r="E6" s="6">
        <v>85.428571428571402</v>
      </c>
      <c r="F6" s="6">
        <f>D6*0.4+E6*0.6</f>
        <v>82.857142857142833</v>
      </c>
      <c r="G6" s="5"/>
    </row>
    <row r="7" spans="1:7" ht="21" customHeight="1">
      <c r="A7" s="8" t="str">
        <f>"李鑫"</f>
        <v>李鑫</v>
      </c>
      <c r="B7" s="8">
        <v>20190109</v>
      </c>
      <c r="C7" s="8" t="s">
        <v>17</v>
      </c>
      <c r="D7" s="7">
        <v>79.5</v>
      </c>
      <c r="E7" s="6">
        <v>84.428571428571402</v>
      </c>
      <c r="F7" s="6">
        <f>D7*0.4+E7*0.6</f>
        <v>82.457142857142841</v>
      </c>
      <c r="G7" s="5"/>
    </row>
    <row r="8" spans="1:7" ht="21" customHeight="1">
      <c r="A8" s="8" t="str">
        <f>"李雪"</f>
        <v>李雪</v>
      </c>
      <c r="B8" s="8">
        <v>20190107</v>
      </c>
      <c r="C8" s="8" t="s">
        <v>17</v>
      </c>
      <c r="D8" s="7">
        <v>79.5</v>
      </c>
      <c r="E8" s="6">
        <v>84.285714285714306</v>
      </c>
      <c r="F8" s="6">
        <f>D8*0.4+E8*0.6</f>
        <v>82.371428571428581</v>
      </c>
      <c r="G8" s="5"/>
    </row>
    <row r="9" spans="1:7" ht="21" customHeight="1">
      <c r="A9" s="8" t="str">
        <f>"张会"</f>
        <v>张会</v>
      </c>
      <c r="B9" s="8">
        <v>20190104</v>
      </c>
      <c r="C9" s="8" t="s">
        <v>17</v>
      </c>
      <c r="D9" s="7">
        <v>73.5</v>
      </c>
      <c r="E9" s="6">
        <v>88.285714285714306</v>
      </c>
      <c r="F9" s="6">
        <f>D9*0.4+E9*0.6</f>
        <v>82.371428571428581</v>
      </c>
      <c r="G9" s="5"/>
    </row>
    <row r="10" spans="1:7" ht="21" customHeight="1">
      <c r="A10" s="8" t="str">
        <f>"张满"</f>
        <v>张满</v>
      </c>
      <c r="B10" s="8">
        <v>20190120</v>
      </c>
      <c r="C10" s="8" t="s">
        <v>17</v>
      </c>
      <c r="D10" s="7">
        <v>73</v>
      </c>
      <c r="E10" s="6">
        <v>85.428571428571402</v>
      </c>
      <c r="F10" s="6">
        <f>D10*0.4+E10*0.6</f>
        <v>80.457142857142841</v>
      </c>
      <c r="G10" s="8"/>
    </row>
    <row r="11" spans="1:7" ht="21" customHeight="1">
      <c r="A11" s="8" t="str">
        <f>"王娜"</f>
        <v>王娜</v>
      </c>
      <c r="B11" s="8">
        <v>20190117</v>
      </c>
      <c r="C11" s="8" t="s">
        <v>17</v>
      </c>
      <c r="D11" s="7">
        <v>77.5</v>
      </c>
      <c r="E11" s="6">
        <v>82.142857142857096</v>
      </c>
      <c r="F11" s="6">
        <f>D11*0.4+E11*0.6</f>
        <v>80.285714285714249</v>
      </c>
      <c r="G11" s="5"/>
    </row>
    <row r="12" spans="1:7" ht="21" customHeight="1">
      <c r="A12" s="8" t="str">
        <f>"王雪杰"</f>
        <v>王雪杰</v>
      </c>
      <c r="B12" s="8">
        <v>20190116</v>
      </c>
      <c r="C12" s="8" t="s">
        <v>17</v>
      </c>
      <c r="D12" s="7">
        <v>75.5</v>
      </c>
      <c r="E12" s="6">
        <v>79.571428571428598</v>
      </c>
      <c r="F12" s="6">
        <f>D12*0.4+E12*0.6</f>
        <v>77.94285714285715</v>
      </c>
      <c r="G12" s="8"/>
    </row>
    <row r="13" spans="1:7" ht="21" customHeight="1">
      <c r="A13" s="8" t="str">
        <f>"朱聪"</f>
        <v>朱聪</v>
      </c>
      <c r="B13" s="8">
        <v>20190112</v>
      </c>
      <c r="C13" s="8" t="s">
        <v>17</v>
      </c>
      <c r="D13" s="7">
        <v>81</v>
      </c>
      <c r="E13" s="6">
        <v>75.571428571428598</v>
      </c>
      <c r="F13" s="6">
        <f>D13*0.4+E13*0.6</f>
        <v>77.742857142857162</v>
      </c>
      <c r="G13" s="5"/>
    </row>
    <row r="14" spans="1:7" ht="21" customHeight="1">
      <c r="A14" s="8" t="str">
        <f>"杨琼"</f>
        <v>杨琼</v>
      </c>
      <c r="B14" s="8">
        <v>20190110</v>
      </c>
      <c r="C14" s="8" t="s">
        <v>17</v>
      </c>
      <c r="D14" s="7">
        <v>80.5</v>
      </c>
      <c r="E14" s="6">
        <v>74.714285714285694</v>
      </c>
      <c r="F14" s="6">
        <f>D14*0.4+E14*0.6</f>
        <v>77.028571428571411</v>
      </c>
      <c r="G14" s="8"/>
    </row>
    <row r="15" spans="1:7" ht="21" customHeight="1">
      <c r="A15" s="8" t="str">
        <f>"王璐"</f>
        <v>王璐</v>
      </c>
      <c r="B15" s="8">
        <v>20190113</v>
      </c>
      <c r="C15" s="8" t="s">
        <v>17</v>
      </c>
      <c r="D15" s="7">
        <v>74.5</v>
      </c>
      <c r="E15" s="6">
        <v>78.428571428571402</v>
      </c>
      <c r="F15" s="6">
        <f>D15*0.4+E15*0.6</f>
        <v>76.857142857142847</v>
      </c>
      <c r="G15" s="5"/>
    </row>
    <row r="16" spans="1:7" ht="21" customHeight="1">
      <c r="A16" s="8" t="str">
        <f>"史婕"</f>
        <v>史婕</v>
      </c>
      <c r="B16" s="8">
        <v>20190118</v>
      </c>
      <c r="C16" s="8" t="s">
        <v>17</v>
      </c>
      <c r="D16" s="7">
        <v>73.5</v>
      </c>
      <c r="E16" s="6">
        <v>78.142857142857096</v>
      </c>
      <c r="F16" s="6">
        <f>D16*0.4+E16*0.6</f>
        <v>76.285714285714263</v>
      </c>
      <c r="G16" s="8"/>
    </row>
    <row r="17" spans="1:7" ht="21" customHeight="1">
      <c r="A17" s="8" t="str">
        <f>"赵迎"</f>
        <v>赵迎</v>
      </c>
      <c r="B17" s="8">
        <v>20190106</v>
      </c>
      <c r="C17" s="8" t="s">
        <v>17</v>
      </c>
      <c r="D17" s="7">
        <v>73</v>
      </c>
      <c r="E17" s="6">
        <v>76.285714285714306</v>
      </c>
      <c r="F17" s="6">
        <f>D17*0.4+E17*0.6</f>
        <v>74.971428571428589</v>
      </c>
      <c r="G17" s="5"/>
    </row>
    <row r="18" spans="1:7" ht="21" customHeight="1">
      <c r="A18" s="8" t="str">
        <f>"宋亚丽"</f>
        <v>宋亚丽</v>
      </c>
      <c r="B18" s="8">
        <v>20190130</v>
      </c>
      <c r="C18" s="8" t="s">
        <v>16</v>
      </c>
      <c r="D18" s="7">
        <v>77.5</v>
      </c>
      <c r="E18" s="6">
        <v>92.6</v>
      </c>
      <c r="F18" s="6">
        <f>D18*0.4+E18*0.6</f>
        <v>86.56</v>
      </c>
      <c r="G18" s="5"/>
    </row>
    <row r="19" spans="1:7" ht="21" customHeight="1">
      <c r="A19" s="8" t="str">
        <f>"乔娟"</f>
        <v>乔娟</v>
      </c>
      <c r="B19" s="8">
        <v>20190128</v>
      </c>
      <c r="C19" s="8" t="s">
        <v>16</v>
      </c>
      <c r="D19" s="7">
        <v>81</v>
      </c>
      <c r="E19" s="6">
        <v>89</v>
      </c>
      <c r="F19" s="6">
        <f>D19*0.4+E19*0.6</f>
        <v>85.8</v>
      </c>
      <c r="G19" s="8"/>
    </row>
    <row r="20" spans="1:7" ht="21" customHeight="1">
      <c r="A20" s="8" t="str">
        <f>"雷蕾"</f>
        <v>雷蕾</v>
      </c>
      <c r="B20" s="8">
        <v>20190208</v>
      </c>
      <c r="C20" s="8" t="s">
        <v>16</v>
      </c>
      <c r="D20" s="7">
        <v>75</v>
      </c>
      <c r="E20" s="6">
        <v>88.8</v>
      </c>
      <c r="F20" s="6">
        <f>D20*0.4+E20*0.6</f>
        <v>83.28</v>
      </c>
      <c r="G20" s="5"/>
    </row>
    <row r="21" spans="1:7" ht="21" customHeight="1">
      <c r="A21" s="8" t="str">
        <f>"孙鑫"</f>
        <v>孙鑫</v>
      </c>
      <c r="B21" s="8">
        <v>20190127</v>
      </c>
      <c r="C21" s="8" t="s">
        <v>16</v>
      </c>
      <c r="D21" s="7">
        <v>76.5</v>
      </c>
      <c r="E21" s="6">
        <v>87</v>
      </c>
      <c r="F21" s="6">
        <f>D21*0.4+E21*0.6</f>
        <v>82.8</v>
      </c>
      <c r="G21" s="5"/>
    </row>
    <row r="22" spans="1:7" ht="21" customHeight="1">
      <c r="A22" s="8" t="str">
        <f>"杜芳芳"</f>
        <v>杜芳芳</v>
      </c>
      <c r="B22" s="8">
        <v>20190124</v>
      </c>
      <c r="C22" s="8" t="s">
        <v>16</v>
      </c>
      <c r="D22" s="7">
        <v>82.5</v>
      </c>
      <c r="E22" s="6">
        <v>82.2</v>
      </c>
      <c r="F22" s="6">
        <f>D22*0.4+E22*0.6</f>
        <v>82.32</v>
      </c>
      <c r="G22" s="5"/>
    </row>
    <row r="23" spans="1:7" ht="21" customHeight="1">
      <c r="A23" s="8" t="str">
        <f>"王梦莹"</f>
        <v>王梦莹</v>
      </c>
      <c r="B23" s="8">
        <v>20190206</v>
      </c>
      <c r="C23" s="8" t="s">
        <v>16</v>
      </c>
      <c r="D23" s="7">
        <v>70.5</v>
      </c>
      <c r="E23" s="6">
        <v>87.8</v>
      </c>
      <c r="F23" s="6">
        <f>D23*0.4+E23*0.6</f>
        <v>80.88</v>
      </c>
      <c r="G23" s="5"/>
    </row>
    <row r="24" spans="1:7" ht="21" customHeight="1">
      <c r="A24" s="8" t="str">
        <f>"岳静静"</f>
        <v>岳静静</v>
      </c>
      <c r="B24" s="8">
        <v>20190204</v>
      </c>
      <c r="C24" s="8" t="s">
        <v>16</v>
      </c>
      <c r="D24" s="7">
        <v>74.5</v>
      </c>
      <c r="E24" s="6">
        <v>84.6</v>
      </c>
      <c r="F24" s="6">
        <f>D24*0.4+E24*0.6</f>
        <v>80.56</v>
      </c>
      <c r="G24" s="5"/>
    </row>
    <row r="25" spans="1:7" ht="21" customHeight="1">
      <c r="A25" s="8" t="str">
        <f>"罗晓"</f>
        <v>罗晓</v>
      </c>
      <c r="B25" s="8">
        <v>20190207</v>
      </c>
      <c r="C25" s="8" t="s">
        <v>16</v>
      </c>
      <c r="D25" s="7">
        <v>73.5</v>
      </c>
      <c r="E25" s="6">
        <v>85</v>
      </c>
      <c r="F25" s="6">
        <f>D25*0.4+E25*0.6</f>
        <v>80.400000000000006</v>
      </c>
      <c r="G25" s="5"/>
    </row>
    <row r="26" spans="1:7" ht="21" customHeight="1">
      <c r="A26" s="8" t="str">
        <f>"王璘"</f>
        <v>王璘</v>
      </c>
      <c r="B26" s="8">
        <v>20190209</v>
      </c>
      <c r="C26" s="8" t="s">
        <v>16</v>
      </c>
      <c r="D26" s="7">
        <v>73</v>
      </c>
      <c r="E26" s="6">
        <v>84.6</v>
      </c>
      <c r="F26" s="6">
        <f>D26*0.4+E26*0.6</f>
        <v>79.960000000000008</v>
      </c>
      <c r="G26" s="5"/>
    </row>
    <row r="27" spans="1:7" ht="21" customHeight="1">
      <c r="A27" s="8" t="str">
        <f>"卢婷"</f>
        <v>卢婷</v>
      </c>
      <c r="B27" s="8">
        <v>20190125</v>
      </c>
      <c r="C27" s="8" t="s">
        <v>16</v>
      </c>
      <c r="D27" s="7">
        <v>75</v>
      </c>
      <c r="E27" s="6">
        <v>83.2</v>
      </c>
      <c r="F27" s="6">
        <f>D27*0.4+E27*0.6</f>
        <v>79.92</v>
      </c>
      <c r="G27" s="5"/>
    </row>
    <row r="28" spans="1:7" ht="21" customHeight="1">
      <c r="A28" s="8" t="str">
        <f>"刘苗苗"</f>
        <v>刘苗苗</v>
      </c>
      <c r="B28" s="8">
        <v>20190201</v>
      </c>
      <c r="C28" s="8" t="s">
        <v>16</v>
      </c>
      <c r="D28" s="7">
        <v>75.5</v>
      </c>
      <c r="E28" s="6">
        <v>82.8</v>
      </c>
      <c r="F28" s="6">
        <f>D28*0.4+E28*0.6</f>
        <v>79.88</v>
      </c>
      <c r="G28" s="5"/>
    </row>
    <row r="29" spans="1:7" ht="21" customHeight="1">
      <c r="A29" s="8" t="str">
        <f>"刘双"</f>
        <v>刘双</v>
      </c>
      <c r="B29" s="8">
        <v>20190129</v>
      </c>
      <c r="C29" s="8" t="s">
        <v>16</v>
      </c>
      <c r="D29" s="7">
        <v>73.5</v>
      </c>
      <c r="E29" s="6">
        <v>83.8</v>
      </c>
      <c r="F29" s="6">
        <f>D29*0.4+E29*0.6</f>
        <v>79.679999999999993</v>
      </c>
      <c r="G29" s="5"/>
    </row>
    <row r="30" spans="1:7" ht="21" customHeight="1">
      <c r="A30" s="8" t="str">
        <f>"葛婉"</f>
        <v>葛婉</v>
      </c>
      <c r="B30" s="8">
        <v>20190202</v>
      </c>
      <c r="C30" s="8" t="s">
        <v>16</v>
      </c>
      <c r="D30" s="7">
        <v>73</v>
      </c>
      <c r="E30" s="6">
        <v>84</v>
      </c>
      <c r="F30" s="6">
        <f>D30*0.4+E30*0.6</f>
        <v>79.599999999999994</v>
      </c>
      <c r="G30" s="5"/>
    </row>
    <row r="31" spans="1:7" ht="21" customHeight="1">
      <c r="A31" s="8" t="str">
        <f>"丁旭"</f>
        <v>丁旭</v>
      </c>
      <c r="B31" s="8">
        <v>20190123</v>
      </c>
      <c r="C31" s="8" t="s">
        <v>16</v>
      </c>
      <c r="D31" s="7">
        <v>69.5</v>
      </c>
      <c r="E31" s="6">
        <v>86.2</v>
      </c>
      <c r="F31" s="6">
        <f>D31*0.4+E31*0.6</f>
        <v>79.52</v>
      </c>
      <c r="G31" s="5"/>
    </row>
    <row r="32" spans="1:7" ht="21" customHeight="1">
      <c r="A32" s="8" t="str">
        <f>"马晓冰"</f>
        <v>马晓冰</v>
      </c>
      <c r="B32" s="8">
        <v>20190203</v>
      </c>
      <c r="C32" s="8" t="s">
        <v>16</v>
      </c>
      <c r="D32" s="7">
        <v>63.5</v>
      </c>
      <c r="E32" s="6">
        <v>83.2</v>
      </c>
      <c r="F32" s="6">
        <f>D32*0.4+E32*0.6</f>
        <v>75.320000000000007</v>
      </c>
      <c r="G32" s="5"/>
    </row>
    <row r="33" spans="1:7" ht="21" customHeight="1">
      <c r="A33" s="8" t="str">
        <f>"钮艳云"</f>
        <v>钮艳云</v>
      </c>
      <c r="B33" s="8">
        <v>20190210</v>
      </c>
      <c r="C33" s="8" t="s">
        <v>16</v>
      </c>
      <c r="D33" s="7">
        <v>74.5</v>
      </c>
      <c r="E33" s="6" t="s">
        <v>7</v>
      </c>
      <c r="F33" s="6"/>
      <c r="G33" s="5"/>
    </row>
    <row r="34" spans="1:7" ht="21" customHeight="1">
      <c r="A34" s="8" t="str">
        <f>"韩俊霞"</f>
        <v>韩俊霞</v>
      </c>
      <c r="B34" s="8">
        <v>20190211</v>
      </c>
      <c r="C34" s="8" t="s">
        <v>16</v>
      </c>
      <c r="D34" s="7">
        <v>67</v>
      </c>
      <c r="E34" s="6" t="s">
        <v>7</v>
      </c>
      <c r="F34" s="6"/>
      <c r="G34" s="5"/>
    </row>
    <row r="35" spans="1:7" ht="21" customHeight="1">
      <c r="A35" s="8" t="str">
        <f>"罗航航"</f>
        <v>罗航航</v>
      </c>
      <c r="B35" s="8">
        <v>20190309</v>
      </c>
      <c r="C35" s="8" t="s">
        <v>15</v>
      </c>
      <c r="D35" s="7">
        <v>83.5</v>
      </c>
      <c r="E35" s="6">
        <v>86.857142857142904</v>
      </c>
      <c r="F35" s="6">
        <f>D35*0.4+E35*0.6</f>
        <v>85.514285714285734</v>
      </c>
      <c r="G35" s="5"/>
    </row>
    <row r="36" spans="1:7" ht="21" customHeight="1">
      <c r="A36" s="8" t="str">
        <f>"肖嫚"</f>
        <v>肖嫚</v>
      </c>
      <c r="B36" s="8">
        <v>20190225</v>
      </c>
      <c r="C36" s="8" t="s">
        <v>15</v>
      </c>
      <c r="D36" s="7">
        <v>78</v>
      </c>
      <c r="E36" s="6">
        <v>83</v>
      </c>
      <c r="F36" s="6">
        <f>D36*0.4+E36*0.6</f>
        <v>81</v>
      </c>
      <c r="G36" s="5"/>
    </row>
    <row r="37" spans="1:7" ht="21" customHeight="1">
      <c r="A37" s="8" t="str">
        <f>"齐若杉"</f>
        <v>齐若杉</v>
      </c>
      <c r="B37" s="8">
        <v>20190221</v>
      </c>
      <c r="C37" s="8" t="s">
        <v>15</v>
      </c>
      <c r="D37" s="7">
        <v>82</v>
      </c>
      <c r="E37" s="6">
        <v>78.571428571428598</v>
      </c>
      <c r="F37" s="6">
        <f>D37*0.4+E37*0.6</f>
        <v>79.942857142857164</v>
      </c>
      <c r="G37" s="5"/>
    </row>
    <row r="38" spans="1:7" ht="21" customHeight="1">
      <c r="A38" s="8" t="str">
        <f>"王阳"</f>
        <v>王阳</v>
      </c>
      <c r="B38" s="8">
        <v>20190216</v>
      </c>
      <c r="C38" s="8" t="s">
        <v>15</v>
      </c>
      <c r="D38" s="7">
        <v>80</v>
      </c>
      <c r="E38" s="6">
        <v>79.857142857142904</v>
      </c>
      <c r="F38" s="6">
        <f>D38*0.4+E38*0.6</f>
        <v>79.914285714285739</v>
      </c>
      <c r="G38" s="8"/>
    </row>
    <row r="39" spans="1:7" ht="21" customHeight="1">
      <c r="A39" s="8" t="str">
        <f>"裴爽爽"</f>
        <v>裴爽爽</v>
      </c>
      <c r="B39" s="8">
        <v>20190313</v>
      </c>
      <c r="C39" s="8" t="s">
        <v>15</v>
      </c>
      <c r="D39" s="7">
        <v>79</v>
      </c>
      <c r="E39" s="6">
        <v>78.428571428571402</v>
      </c>
      <c r="F39" s="6">
        <f>D39*0.4+E39*0.6</f>
        <v>78.657142857142844</v>
      </c>
      <c r="G39" s="5"/>
    </row>
    <row r="40" spans="1:7" ht="21" customHeight="1">
      <c r="A40" s="8" t="str">
        <f>"高杰"</f>
        <v>高杰</v>
      </c>
      <c r="B40" s="8">
        <v>20190229</v>
      </c>
      <c r="C40" s="8" t="s">
        <v>15</v>
      </c>
      <c r="D40" s="7">
        <v>78.5</v>
      </c>
      <c r="E40" s="6">
        <v>77.714285714285694</v>
      </c>
      <c r="F40" s="6">
        <f>D40*0.4+E40*0.6</f>
        <v>78.028571428571411</v>
      </c>
      <c r="G40" s="5"/>
    </row>
    <row r="41" spans="1:7" ht="21" customHeight="1">
      <c r="A41" s="8" t="str">
        <f>"张杰慧"</f>
        <v>张杰慧</v>
      </c>
      <c r="B41" s="8">
        <v>20190214</v>
      </c>
      <c r="C41" s="8" t="s">
        <v>15</v>
      </c>
      <c r="D41" s="7">
        <v>82</v>
      </c>
      <c r="E41" s="6">
        <v>75.142857142857096</v>
      </c>
      <c r="F41" s="6">
        <f>D41*0.4+E41*0.6</f>
        <v>77.885714285714258</v>
      </c>
      <c r="G41" s="5"/>
    </row>
    <row r="42" spans="1:7" ht="21" customHeight="1">
      <c r="A42" s="8" t="str">
        <f>"冯哲璞"</f>
        <v>冯哲璞</v>
      </c>
      <c r="B42" s="8">
        <v>20190305</v>
      </c>
      <c r="C42" s="8" t="s">
        <v>15</v>
      </c>
      <c r="D42" s="7">
        <v>79.5</v>
      </c>
      <c r="E42" s="6">
        <v>75.857142857142904</v>
      </c>
      <c r="F42" s="6">
        <f>D42*0.4+E42*0.6</f>
        <v>77.314285714285745</v>
      </c>
      <c r="G42" s="5"/>
    </row>
    <row r="43" spans="1:7" ht="21" customHeight="1">
      <c r="A43" s="8" t="str">
        <f>"卢晨阳"</f>
        <v>卢晨阳</v>
      </c>
      <c r="B43" s="8">
        <v>20190227</v>
      </c>
      <c r="C43" s="8" t="s">
        <v>15</v>
      </c>
      <c r="D43" s="7">
        <v>79.5</v>
      </c>
      <c r="E43" s="6">
        <v>75</v>
      </c>
      <c r="F43" s="6">
        <f>D43*0.4+E43*0.6</f>
        <v>76.8</v>
      </c>
      <c r="G43" s="5"/>
    </row>
    <row r="44" spans="1:7" ht="21" customHeight="1">
      <c r="A44" s="8" t="str">
        <f>"张克茹"</f>
        <v>张克茹</v>
      </c>
      <c r="B44" s="8">
        <v>20190228</v>
      </c>
      <c r="C44" s="8" t="s">
        <v>15</v>
      </c>
      <c r="D44" s="7">
        <v>79</v>
      </c>
      <c r="E44" s="6">
        <v>75.285714285714306</v>
      </c>
      <c r="F44" s="6">
        <f>D44*0.4+E44*0.6</f>
        <v>76.771428571428586</v>
      </c>
      <c r="G44" s="5"/>
    </row>
    <row r="45" spans="1:7" ht="21" customHeight="1">
      <c r="A45" s="8" t="str">
        <f>"吕杰玲"</f>
        <v>吕杰玲</v>
      </c>
      <c r="B45" s="8">
        <v>20190219</v>
      </c>
      <c r="C45" s="8" t="s">
        <v>15</v>
      </c>
      <c r="D45" s="7">
        <v>78.5</v>
      </c>
      <c r="E45" s="6">
        <v>74.571428571428598</v>
      </c>
      <c r="F45" s="6">
        <f>D45*0.4+E45*0.6</f>
        <v>76.142857142857153</v>
      </c>
      <c r="G45" s="5"/>
    </row>
    <row r="46" spans="1:7" ht="21" customHeight="1">
      <c r="A46" s="8" t="str">
        <f>"刘宏彦"</f>
        <v>刘宏彦</v>
      </c>
      <c r="B46" s="8">
        <v>20190230</v>
      </c>
      <c r="C46" s="8" t="s">
        <v>15</v>
      </c>
      <c r="D46" s="7">
        <v>81.5</v>
      </c>
      <c r="E46" s="6" t="s">
        <v>7</v>
      </c>
      <c r="F46" s="6"/>
      <c r="G46" s="5"/>
    </row>
    <row r="47" spans="1:7" ht="21" customHeight="1">
      <c r="A47" s="8" t="str">
        <f>"李莉"</f>
        <v>李莉</v>
      </c>
      <c r="B47" s="8">
        <v>20190307</v>
      </c>
      <c r="C47" s="8" t="s">
        <v>15</v>
      </c>
      <c r="D47" s="7">
        <v>78</v>
      </c>
      <c r="E47" s="6" t="s">
        <v>7</v>
      </c>
      <c r="F47" s="6"/>
      <c r="G47" s="5"/>
    </row>
    <row r="48" spans="1:7" ht="21" customHeight="1">
      <c r="A48" s="8" t="str">
        <f>"梅李慧"</f>
        <v>梅李慧</v>
      </c>
      <c r="B48" s="8">
        <v>20190318</v>
      </c>
      <c r="C48" s="8" t="s">
        <v>14</v>
      </c>
      <c r="D48" s="7">
        <v>76</v>
      </c>
      <c r="E48" s="6">
        <v>90.4</v>
      </c>
      <c r="F48" s="6">
        <f>D48*0.4+E48*0.6</f>
        <v>84.64</v>
      </c>
      <c r="G48" s="5"/>
    </row>
    <row r="49" spans="1:7" ht="21" customHeight="1">
      <c r="A49" s="8" t="str">
        <f>"吴小哲"</f>
        <v>吴小哲</v>
      </c>
      <c r="B49" s="8">
        <v>20190319</v>
      </c>
      <c r="C49" s="8" t="s">
        <v>14</v>
      </c>
      <c r="D49" s="7">
        <v>69.5</v>
      </c>
      <c r="E49" s="6">
        <v>93.2</v>
      </c>
      <c r="F49" s="6">
        <f>D49*0.4+E49*0.6</f>
        <v>83.72</v>
      </c>
      <c r="G49" s="5"/>
    </row>
    <row r="50" spans="1:7" ht="21" customHeight="1">
      <c r="A50" s="8" t="str">
        <f>"曾宇"</f>
        <v>曾宇</v>
      </c>
      <c r="B50" s="8">
        <v>20190320</v>
      </c>
      <c r="C50" s="8" t="s">
        <v>14</v>
      </c>
      <c r="D50" s="7">
        <v>67</v>
      </c>
      <c r="E50" s="6">
        <v>88.2</v>
      </c>
      <c r="F50" s="6">
        <f>D50*0.4+E50*0.6</f>
        <v>79.72</v>
      </c>
      <c r="G50" s="5"/>
    </row>
    <row r="51" spans="1:7" ht="21" customHeight="1">
      <c r="A51" s="8" t="str">
        <f>"王士杰"</f>
        <v>王士杰</v>
      </c>
      <c r="B51" s="8">
        <v>20190317</v>
      </c>
      <c r="C51" s="8" t="s">
        <v>14</v>
      </c>
      <c r="D51" s="7">
        <v>70</v>
      </c>
      <c r="E51" s="6">
        <v>85.6</v>
      </c>
      <c r="F51" s="6">
        <f>D51*0.4+E51*0.6</f>
        <v>79.359999999999985</v>
      </c>
      <c r="G51" s="5"/>
    </row>
    <row r="52" spans="1:7" ht="21" customHeight="1">
      <c r="A52" s="8" t="str">
        <f>"郑真真"</f>
        <v>郑真真</v>
      </c>
      <c r="B52" s="8">
        <v>20190324</v>
      </c>
      <c r="C52" s="8" t="s">
        <v>13</v>
      </c>
      <c r="D52" s="7">
        <v>77.5</v>
      </c>
      <c r="E52" s="6">
        <v>93.2</v>
      </c>
      <c r="F52" s="6">
        <f>D52*0.4+E52*0.6</f>
        <v>86.92</v>
      </c>
      <c r="G52" s="5"/>
    </row>
    <row r="53" spans="1:7" ht="21" customHeight="1">
      <c r="A53" s="8" t="str">
        <f>"张迎"</f>
        <v>张迎</v>
      </c>
      <c r="B53" s="8">
        <v>20190325</v>
      </c>
      <c r="C53" s="8" t="s">
        <v>13</v>
      </c>
      <c r="D53" s="7">
        <v>79</v>
      </c>
      <c r="E53" s="6">
        <v>92</v>
      </c>
      <c r="F53" s="6">
        <f>D53*0.4+E53*0.6</f>
        <v>86.8</v>
      </c>
      <c r="G53" s="5"/>
    </row>
    <row r="54" spans="1:7" ht="21" customHeight="1">
      <c r="A54" s="8" t="str">
        <f>"卢倩煜"</f>
        <v>卢倩煜</v>
      </c>
      <c r="B54" s="8">
        <v>20190321</v>
      </c>
      <c r="C54" s="8" t="s">
        <v>13</v>
      </c>
      <c r="D54" s="7">
        <v>75.5</v>
      </c>
      <c r="E54" s="6">
        <v>90.6</v>
      </c>
      <c r="F54" s="6">
        <f>D54*0.4+E54*0.6</f>
        <v>84.56</v>
      </c>
      <c r="G54" s="5"/>
    </row>
    <row r="55" spans="1:7" ht="21" customHeight="1">
      <c r="A55" s="8" t="str">
        <f>"李杨"</f>
        <v>李杨</v>
      </c>
      <c r="B55" s="8">
        <v>20190322</v>
      </c>
      <c r="C55" s="8" t="s">
        <v>13</v>
      </c>
      <c r="D55" s="7">
        <v>70.5</v>
      </c>
      <c r="E55" s="6">
        <v>88.2</v>
      </c>
      <c r="F55" s="6">
        <f>D55*0.4+E55*0.6</f>
        <v>81.12</v>
      </c>
      <c r="G55" s="5"/>
    </row>
    <row r="56" spans="1:7" ht="21" customHeight="1">
      <c r="A56" s="8" t="str">
        <f>"赵莉萍"</f>
        <v>赵莉萍</v>
      </c>
      <c r="B56" s="8">
        <v>20190326</v>
      </c>
      <c r="C56" s="8" t="s">
        <v>13</v>
      </c>
      <c r="D56" s="7">
        <v>74</v>
      </c>
      <c r="E56" s="6">
        <v>83.6</v>
      </c>
      <c r="F56" s="6">
        <f>D56*0.4+E56*0.6</f>
        <v>79.759999999999991</v>
      </c>
      <c r="G56" s="5"/>
    </row>
    <row r="57" spans="1:7" ht="21" customHeight="1">
      <c r="A57" s="8" t="str">
        <f>"黄继凡"</f>
        <v>黄继凡</v>
      </c>
      <c r="B57" s="8">
        <v>20190323</v>
      </c>
      <c r="C57" s="8" t="s">
        <v>13</v>
      </c>
      <c r="D57" s="7">
        <v>70</v>
      </c>
      <c r="E57" s="6" t="s">
        <v>7</v>
      </c>
      <c r="F57" s="6"/>
      <c r="G57" s="8"/>
    </row>
    <row r="58" spans="1:7" ht="21" customHeight="1">
      <c r="A58" s="8" t="str">
        <f>"钱逸明"</f>
        <v>钱逸明</v>
      </c>
      <c r="B58" s="8">
        <v>20190328</v>
      </c>
      <c r="C58" s="8" t="s">
        <v>12</v>
      </c>
      <c r="D58" s="7">
        <v>77.5</v>
      </c>
      <c r="E58" s="6">
        <v>92.8</v>
      </c>
      <c r="F58" s="6">
        <f>D58*0.4+E58*0.6</f>
        <v>86.68</v>
      </c>
      <c r="G58" s="8"/>
    </row>
    <row r="59" spans="1:7" ht="21" customHeight="1">
      <c r="A59" s="8" t="str">
        <f>"杨明阳"</f>
        <v>杨明阳</v>
      </c>
      <c r="B59" s="8">
        <v>20190403</v>
      </c>
      <c r="C59" s="8" t="s">
        <v>12</v>
      </c>
      <c r="D59" s="7">
        <v>78</v>
      </c>
      <c r="E59" s="6">
        <v>90.6</v>
      </c>
      <c r="F59" s="6">
        <f>D59*0.4+E59*0.6</f>
        <v>85.56</v>
      </c>
      <c r="G59" s="5"/>
    </row>
    <row r="60" spans="1:7" ht="21" customHeight="1">
      <c r="A60" s="11" t="str">
        <f>"李佳"</f>
        <v>李佳</v>
      </c>
      <c r="B60" s="11">
        <v>20190401</v>
      </c>
      <c r="C60" s="11" t="s">
        <v>12</v>
      </c>
      <c r="D60" s="10">
        <v>71.5</v>
      </c>
      <c r="E60" s="14">
        <v>86.8</v>
      </c>
      <c r="F60" s="6">
        <f>D60*0.4+E60*0.6</f>
        <v>80.680000000000007</v>
      </c>
      <c r="G60" s="13"/>
    </row>
    <row r="61" spans="1:7" ht="21" customHeight="1">
      <c r="A61" s="8" t="str">
        <f>"张亚静"</f>
        <v>张亚静</v>
      </c>
      <c r="B61" s="8">
        <v>20190402</v>
      </c>
      <c r="C61" s="8" t="s">
        <v>12</v>
      </c>
      <c r="D61" s="7">
        <v>70.5</v>
      </c>
      <c r="E61" s="6">
        <v>85.4</v>
      </c>
      <c r="F61" s="6">
        <f>D61*0.4+E61*0.6</f>
        <v>79.44</v>
      </c>
      <c r="G61" s="5"/>
    </row>
    <row r="62" spans="1:7" ht="21" customHeight="1">
      <c r="A62" s="8" t="str">
        <f>"马瑞婉"</f>
        <v>马瑞婉</v>
      </c>
      <c r="B62" s="8">
        <v>20190408</v>
      </c>
      <c r="C62" s="8" t="s">
        <v>11</v>
      </c>
      <c r="D62" s="7">
        <v>79</v>
      </c>
      <c r="E62" s="6">
        <v>86.714285714285694</v>
      </c>
      <c r="F62" s="6">
        <f>D62*0.4+E62*0.6</f>
        <v>83.628571428571419</v>
      </c>
      <c r="G62" s="5"/>
    </row>
    <row r="63" spans="1:7" ht="21" customHeight="1">
      <c r="A63" s="8" t="str">
        <f>"司念"</f>
        <v>司念</v>
      </c>
      <c r="B63" s="8">
        <v>20190406</v>
      </c>
      <c r="C63" s="8" t="s">
        <v>11</v>
      </c>
      <c r="D63" s="7">
        <v>82.5</v>
      </c>
      <c r="E63" s="6">
        <v>82.857142857142904</v>
      </c>
      <c r="F63" s="6">
        <f>D63*0.4+E63*0.6</f>
        <v>82.714285714285751</v>
      </c>
      <c r="G63" s="5"/>
    </row>
    <row r="64" spans="1:7" ht="21" customHeight="1">
      <c r="A64" s="8" t="str">
        <f>"张楠"</f>
        <v>张楠</v>
      </c>
      <c r="B64" s="8">
        <v>20190409</v>
      </c>
      <c r="C64" s="8" t="s">
        <v>11</v>
      </c>
      <c r="D64" s="7">
        <v>76</v>
      </c>
      <c r="E64" s="6">
        <v>86.857142857142904</v>
      </c>
      <c r="F64" s="6">
        <f>D64*0.4+E64*0.6</f>
        <v>82.514285714285748</v>
      </c>
      <c r="G64" s="5"/>
    </row>
    <row r="65" spans="1:7" ht="21" customHeight="1">
      <c r="A65" s="8" t="str">
        <f>"李阳"</f>
        <v>李阳</v>
      </c>
      <c r="B65" s="8">
        <v>20190410</v>
      </c>
      <c r="C65" s="8" t="s">
        <v>11</v>
      </c>
      <c r="D65" s="7">
        <v>74.5</v>
      </c>
      <c r="E65" s="6">
        <v>86.714285714285694</v>
      </c>
      <c r="F65" s="6">
        <f>D65*0.4+E65*0.6</f>
        <v>81.828571428571422</v>
      </c>
      <c r="G65" s="5"/>
    </row>
    <row r="66" spans="1:7" ht="21" customHeight="1">
      <c r="A66" s="8" t="str">
        <f>"吕锦锦"</f>
        <v>吕锦锦</v>
      </c>
      <c r="B66" s="8">
        <v>20190407</v>
      </c>
      <c r="C66" s="8" t="s">
        <v>11</v>
      </c>
      <c r="D66" s="7">
        <v>72</v>
      </c>
      <c r="E66" s="6">
        <v>80.571428571428598</v>
      </c>
      <c r="F66" s="6">
        <f>D66*0.4+E66*0.6</f>
        <v>77.142857142857153</v>
      </c>
      <c r="G66" s="5"/>
    </row>
    <row r="67" spans="1:7" ht="21" customHeight="1">
      <c r="A67" s="8" t="str">
        <f>"李世平"</f>
        <v>李世平</v>
      </c>
      <c r="B67" s="8">
        <v>20190413</v>
      </c>
      <c r="C67" s="8" t="s">
        <v>10</v>
      </c>
      <c r="D67" s="7">
        <v>82.5</v>
      </c>
      <c r="E67" s="6">
        <v>84.857142857142904</v>
      </c>
      <c r="F67" s="6">
        <f>D67*0.4+E67*0.6</f>
        <v>83.914285714285739</v>
      </c>
      <c r="G67" s="5"/>
    </row>
    <row r="68" spans="1:7" ht="21" customHeight="1">
      <c r="A68" s="8" t="str">
        <f>"田利广"</f>
        <v>田利广</v>
      </c>
      <c r="B68" s="8">
        <v>20190412</v>
      </c>
      <c r="C68" s="8" t="s">
        <v>10</v>
      </c>
      <c r="D68" s="7">
        <v>79.5</v>
      </c>
      <c r="E68" s="6">
        <v>84.142857142857096</v>
      </c>
      <c r="F68" s="6">
        <f>D68*0.4+E68*0.6</f>
        <v>82.285714285714263</v>
      </c>
      <c r="G68" s="5"/>
    </row>
    <row r="69" spans="1:7" ht="21" customHeight="1">
      <c r="A69" s="8" t="str">
        <f>"高欢"</f>
        <v>高欢</v>
      </c>
      <c r="B69" s="8">
        <v>20190415</v>
      </c>
      <c r="C69" s="8" t="s">
        <v>9</v>
      </c>
      <c r="D69" s="7">
        <v>75</v>
      </c>
      <c r="E69" s="6">
        <v>89.285714285714306</v>
      </c>
      <c r="F69" s="6">
        <f>D69*0.4+E69*0.6</f>
        <v>83.571428571428584</v>
      </c>
      <c r="G69" s="5"/>
    </row>
    <row r="70" spans="1:7" ht="21" customHeight="1">
      <c r="A70" s="8" t="str">
        <f>"张伟梦"</f>
        <v>张伟梦</v>
      </c>
      <c r="B70" s="8">
        <v>20190414</v>
      </c>
      <c r="C70" s="8" t="s">
        <v>9</v>
      </c>
      <c r="D70" s="7">
        <v>70</v>
      </c>
      <c r="E70" s="6">
        <v>82.142857142857096</v>
      </c>
      <c r="F70" s="6">
        <f>D70*0.4+E70*0.6</f>
        <v>77.285714285714249</v>
      </c>
      <c r="G70" s="5"/>
    </row>
    <row r="71" spans="1:7" ht="21" customHeight="1">
      <c r="A71" s="8" t="str">
        <f>"朱叶"</f>
        <v>朱叶</v>
      </c>
      <c r="B71" s="8">
        <v>20190417</v>
      </c>
      <c r="C71" s="8" t="s">
        <v>9</v>
      </c>
      <c r="D71" s="7">
        <v>72.5</v>
      </c>
      <c r="E71" s="6">
        <v>80</v>
      </c>
      <c r="F71" s="6">
        <f>D71*0.4+E71*0.6</f>
        <v>77</v>
      </c>
      <c r="G71" s="5"/>
    </row>
    <row r="72" spans="1:7" ht="21" customHeight="1">
      <c r="A72" s="8" t="str">
        <f>"段纯洁"</f>
        <v>段纯洁</v>
      </c>
      <c r="B72" s="8">
        <v>20191017</v>
      </c>
      <c r="C72" s="8" t="s">
        <v>8</v>
      </c>
      <c r="D72" s="7">
        <v>84.5</v>
      </c>
      <c r="E72" s="6">
        <v>89.2</v>
      </c>
      <c r="F72" s="6">
        <f>D72*0.4+E72*0.6</f>
        <v>87.320000000000007</v>
      </c>
      <c r="G72" s="5"/>
    </row>
    <row r="73" spans="1:7" ht="21" customHeight="1">
      <c r="A73" s="8" t="str">
        <f>"王义强"</f>
        <v>王义强</v>
      </c>
      <c r="B73" s="8">
        <v>20190819</v>
      </c>
      <c r="C73" s="8" t="s">
        <v>8</v>
      </c>
      <c r="D73" s="7">
        <v>80.5</v>
      </c>
      <c r="E73" s="6">
        <v>90.6</v>
      </c>
      <c r="F73" s="6">
        <f>D73*0.4+E73*0.6</f>
        <v>86.56</v>
      </c>
      <c r="G73" s="5"/>
    </row>
    <row r="74" spans="1:7" ht="21" customHeight="1">
      <c r="A74" s="8" t="str">
        <f>"刘雅倩"</f>
        <v>刘雅倩</v>
      </c>
      <c r="B74" s="8">
        <v>20190816</v>
      </c>
      <c r="C74" s="8" t="s">
        <v>8</v>
      </c>
      <c r="D74" s="7">
        <v>85.5</v>
      </c>
      <c r="E74" s="6">
        <v>87.2</v>
      </c>
      <c r="F74" s="6">
        <f>D74*0.4+E74*0.6</f>
        <v>86.52000000000001</v>
      </c>
      <c r="G74" s="5"/>
    </row>
    <row r="75" spans="1:7" ht="21" customHeight="1">
      <c r="A75" s="8" t="str">
        <f>"彭欣"</f>
        <v>彭欣</v>
      </c>
      <c r="B75" s="8">
        <v>20191113</v>
      </c>
      <c r="C75" s="8" t="s">
        <v>8</v>
      </c>
      <c r="D75" s="7">
        <v>81.5</v>
      </c>
      <c r="E75" s="6">
        <v>89.4</v>
      </c>
      <c r="F75" s="6">
        <f>D75*0.4+E75*0.6</f>
        <v>86.240000000000009</v>
      </c>
      <c r="G75" s="5"/>
    </row>
    <row r="76" spans="1:7" ht="21" customHeight="1">
      <c r="A76" s="8" t="str">
        <f>"李姗"</f>
        <v>李姗</v>
      </c>
      <c r="B76" s="8">
        <v>20191123</v>
      </c>
      <c r="C76" s="8" t="s">
        <v>8</v>
      </c>
      <c r="D76" s="7">
        <v>81</v>
      </c>
      <c r="E76" s="6">
        <v>89.6</v>
      </c>
      <c r="F76" s="6">
        <f>D76*0.4+E76*0.6</f>
        <v>86.16</v>
      </c>
      <c r="G76" s="5"/>
    </row>
    <row r="77" spans="1:7" ht="21" customHeight="1">
      <c r="A77" s="8" t="str">
        <f>"杨雅楠"</f>
        <v>杨雅楠</v>
      </c>
      <c r="B77" s="8">
        <v>20190605</v>
      </c>
      <c r="C77" s="8" t="s">
        <v>8</v>
      </c>
      <c r="D77" s="7">
        <v>81</v>
      </c>
      <c r="E77" s="6">
        <v>89.6</v>
      </c>
      <c r="F77" s="6">
        <f>D77*0.4+E77*0.6</f>
        <v>86.16</v>
      </c>
      <c r="G77" s="5"/>
    </row>
    <row r="78" spans="1:7" ht="21" customHeight="1">
      <c r="A78" s="8" t="str">
        <f>"程静毅"</f>
        <v>程静毅</v>
      </c>
      <c r="B78" s="8">
        <v>20190916</v>
      </c>
      <c r="C78" s="8" t="s">
        <v>8</v>
      </c>
      <c r="D78" s="7">
        <v>88</v>
      </c>
      <c r="E78" s="6">
        <v>84</v>
      </c>
      <c r="F78" s="6">
        <f>D78*0.4+E78*0.6</f>
        <v>85.6</v>
      </c>
      <c r="G78" s="5"/>
    </row>
    <row r="79" spans="1:7" ht="21" customHeight="1">
      <c r="A79" s="8" t="str">
        <f>"王培颖"</f>
        <v>王培颖</v>
      </c>
      <c r="B79" s="8">
        <v>20190917</v>
      </c>
      <c r="C79" s="8" t="s">
        <v>8</v>
      </c>
      <c r="D79" s="7">
        <v>85</v>
      </c>
      <c r="E79" s="6">
        <v>85.8</v>
      </c>
      <c r="F79" s="6">
        <f>D79*0.4+E79*0.6</f>
        <v>85.47999999999999</v>
      </c>
      <c r="G79" s="5"/>
    </row>
    <row r="80" spans="1:7" ht="21" customHeight="1">
      <c r="A80" s="8" t="str">
        <f>"郑婷"</f>
        <v>郑婷</v>
      </c>
      <c r="B80" s="8">
        <v>20191008</v>
      </c>
      <c r="C80" s="8" t="s">
        <v>8</v>
      </c>
      <c r="D80" s="7">
        <v>80.5</v>
      </c>
      <c r="E80" s="6">
        <v>88.4</v>
      </c>
      <c r="F80" s="6">
        <f>D80*0.4+E80*0.6</f>
        <v>85.240000000000009</v>
      </c>
      <c r="G80" s="5"/>
    </row>
    <row r="81" spans="1:7" ht="21" customHeight="1">
      <c r="A81" s="8" t="str">
        <f>"江晓"</f>
        <v>江晓</v>
      </c>
      <c r="B81" s="8">
        <v>20190702</v>
      </c>
      <c r="C81" s="8" t="s">
        <v>8</v>
      </c>
      <c r="D81" s="7">
        <v>83.5</v>
      </c>
      <c r="E81" s="6">
        <v>86.2</v>
      </c>
      <c r="F81" s="6">
        <f>D81*0.4+E81*0.6</f>
        <v>85.12</v>
      </c>
      <c r="G81" s="5"/>
    </row>
    <row r="82" spans="1:7" ht="21" customHeight="1">
      <c r="A82" s="8" t="str">
        <f>"马云萍"</f>
        <v>马云萍</v>
      </c>
      <c r="B82" s="8">
        <v>20190718</v>
      </c>
      <c r="C82" s="8" t="s">
        <v>8</v>
      </c>
      <c r="D82" s="7">
        <v>79</v>
      </c>
      <c r="E82" s="6">
        <v>88.4</v>
      </c>
      <c r="F82" s="6">
        <f>D82*0.4+E82*0.6</f>
        <v>84.64</v>
      </c>
      <c r="G82" s="5"/>
    </row>
    <row r="83" spans="1:7" ht="21" customHeight="1">
      <c r="A83" s="8" t="str">
        <f>"陈玉珠"</f>
        <v>陈玉珠</v>
      </c>
      <c r="B83" s="8">
        <v>20191006</v>
      </c>
      <c r="C83" s="8" t="s">
        <v>8</v>
      </c>
      <c r="D83" s="7">
        <v>86</v>
      </c>
      <c r="E83" s="6">
        <v>83.6</v>
      </c>
      <c r="F83" s="6">
        <f>D83*0.4+E83*0.6</f>
        <v>84.56</v>
      </c>
      <c r="G83" s="8"/>
    </row>
    <row r="84" spans="1:7" ht="21" customHeight="1">
      <c r="A84" s="8" t="str">
        <f>"李莹"</f>
        <v>李莹</v>
      </c>
      <c r="B84" s="8">
        <v>20190814</v>
      </c>
      <c r="C84" s="8" t="s">
        <v>8</v>
      </c>
      <c r="D84" s="7">
        <v>81.5</v>
      </c>
      <c r="E84" s="6">
        <v>86.4</v>
      </c>
      <c r="F84" s="6">
        <f>D84*0.4+E84*0.6</f>
        <v>84.44</v>
      </c>
      <c r="G84" s="5"/>
    </row>
    <row r="85" spans="1:7" ht="21" customHeight="1">
      <c r="A85" s="8" t="str">
        <f>"李朦迪"</f>
        <v>李朦迪</v>
      </c>
      <c r="B85" s="8">
        <v>20191016</v>
      </c>
      <c r="C85" s="8" t="s">
        <v>8</v>
      </c>
      <c r="D85" s="7">
        <v>79.5</v>
      </c>
      <c r="E85" s="6">
        <v>87.6</v>
      </c>
      <c r="F85" s="6">
        <f>D85*0.4+E85*0.6</f>
        <v>84.36</v>
      </c>
      <c r="G85" s="5"/>
    </row>
    <row r="86" spans="1:7" ht="21" customHeight="1">
      <c r="A86" s="8" t="str">
        <f>"詹梦瑶"</f>
        <v>詹梦瑶</v>
      </c>
      <c r="B86" s="8">
        <v>20191002</v>
      </c>
      <c r="C86" s="8" t="s">
        <v>8</v>
      </c>
      <c r="D86" s="7">
        <v>81</v>
      </c>
      <c r="E86" s="6">
        <v>86.6</v>
      </c>
      <c r="F86" s="6">
        <f>D86*0.4+E86*0.6</f>
        <v>84.359999999999985</v>
      </c>
      <c r="G86" s="5"/>
    </row>
    <row r="87" spans="1:7" ht="21" customHeight="1">
      <c r="A87" s="8" t="str">
        <f>"吴小可"</f>
        <v>吴小可</v>
      </c>
      <c r="B87" s="8">
        <v>20190827</v>
      </c>
      <c r="C87" s="8" t="s">
        <v>8</v>
      </c>
      <c r="D87" s="7">
        <v>79</v>
      </c>
      <c r="E87" s="6">
        <v>87.6</v>
      </c>
      <c r="F87" s="6">
        <f>D87*0.4+E87*0.6</f>
        <v>84.16</v>
      </c>
      <c r="G87" s="8"/>
    </row>
    <row r="88" spans="1:7" ht="21" customHeight="1">
      <c r="A88" s="8" t="str">
        <f>"王晶"</f>
        <v>王晶</v>
      </c>
      <c r="B88" s="8">
        <v>20190502</v>
      </c>
      <c r="C88" s="8" t="s">
        <v>8</v>
      </c>
      <c r="D88" s="7">
        <v>82.5</v>
      </c>
      <c r="E88" s="6">
        <v>84.4</v>
      </c>
      <c r="F88" s="6">
        <f>D88*0.4+E88*0.6</f>
        <v>83.64</v>
      </c>
      <c r="G88" s="5"/>
    </row>
    <row r="89" spans="1:7" ht="21" customHeight="1">
      <c r="A89" s="8" t="str">
        <f>"张可"</f>
        <v>张可</v>
      </c>
      <c r="B89" s="8">
        <v>20190622</v>
      </c>
      <c r="C89" s="8" t="s">
        <v>8</v>
      </c>
      <c r="D89" s="7">
        <v>79</v>
      </c>
      <c r="E89" s="6">
        <v>86.6</v>
      </c>
      <c r="F89" s="6">
        <f>D89*0.4+E89*0.6</f>
        <v>83.56</v>
      </c>
      <c r="G89" s="5"/>
    </row>
    <row r="90" spans="1:7" ht="21" customHeight="1">
      <c r="A90" s="8" t="str">
        <f>"陈阳阳"</f>
        <v>陈阳阳</v>
      </c>
      <c r="B90" s="8">
        <v>20190722</v>
      </c>
      <c r="C90" s="8" t="s">
        <v>8</v>
      </c>
      <c r="D90" s="7">
        <v>81</v>
      </c>
      <c r="E90" s="6">
        <v>85</v>
      </c>
      <c r="F90" s="6">
        <f>D90*0.4+E90*0.6</f>
        <v>83.4</v>
      </c>
      <c r="G90" s="5"/>
    </row>
    <row r="91" spans="1:7" ht="21" customHeight="1">
      <c r="A91" s="8" t="str">
        <f>"曹品婷"</f>
        <v>曹品婷</v>
      </c>
      <c r="B91" s="8">
        <v>20190822</v>
      </c>
      <c r="C91" s="8" t="s">
        <v>8</v>
      </c>
      <c r="D91" s="7">
        <v>79</v>
      </c>
      <c r="E91" s="6">
        <v>86.2</v>
      </c>
      <c r="F91" s="6">
        <f>D91*0.4+E91*0.6</f>
        <v>83.32</v>
      </c>
      <c r="G91" s="5"/>
    </row>
    <row r="92" spans="1:7" ht="21" customHeight="1">
      <c r="A92" s="8" t="str">
        <f>"张姣"</f>
        <v>张姣</v>
      </c>
      <c r="B92" s="8">
        <v>20190617</v>
      </c>
      <c r="C92" s="8" t="s">
        <v>8</v>
      </c>
      <c r="D92" s="7">
        <v>81</v>
      </c>
      <c r="E92" s="6">
        <v>84.2</v>
      </c>
      <c r="F92" s="6">
        <f>D92*0.4+E92*0.6</f>
        <v>82.92</v>
      </c>
      <c r="G92" s="8"/>
    </row>
    <row r="93" spans="1:7" ht="21" customHeight="1">
      <c r="A93" s="8" t="str">
        <f>"李双"</f>
        <v>李双</v>
      </c>
      <c r="B93" s="8">
        <v>20190712</v>
      </c>
      <c r="C93" s="8" t="s">
        <v>8</v>
      </c>
      <c r="D93" s="7">
        <v>79</v>
      </c>
      <c r="E93" s="6">
        <v>85.2</v>
      </c>
      <c r="F93" s="6">
        <f>D93*0.4+E93*0.6</f>
        <v>82.72</v>
      </c>
      <c r="G93" s="5"/>
    </row>
    <row r="94" spans="1:7" ht="21" customHeight="1">
      <c r="A94" s="8" t="str">
        <f>"王丹平"</f>
        <v>王丹平</v>
      </c>
      <c r="B94" s="8">
        <v>20190826</v>
      </c>
      <c r="C94" s="8" t="s">
        <v>8</v>
      </c>
      <c r="D94" s="7">
        <v>78.5</v>
      </c>
      <c r="E94" s="6">
        <v>85</v>
      </c>
      <c r="F94" s="6">
        <f>D94*0.4+E94*0.6</f>
        <v>82.4</v>
      </c>
      <c r="G94" s="5"/>
    </row>
    <row r="95" spans="1:7" ht="21" customHeight="1">
      <c r="A95" s="8" t="str">
        <f>"钟亚平"</f>
        <v>钟亚平</v>
      </c>
      <c r="B95" s="8">
        <v>20190616</v>
      </c>
      <c r="C95" s="8" t="s">
        <v>8</v>
      </c>
      <c r="D95" s="7">
        <v>79</v>
      </c>
      <c r="E95" s="6">
        <v>84.2</v>
      </c>
      <c r="F95" s="6">
        <f>D95*0.4+E95*0.6</f>
        <v>82.12</v>
      </c>
      <c r="G95" s="8"/>
    </row>
    <row r="96" spans="1:7" ht="21" customHeight="1">
      <c r="A96" s="8" t="str">
        <f>"李艳丰"</f>
        <v>李艳丰</v>
      </c>
      <c r="B96" s="8">
        <v>20190907</v>
      </c>
      <c r="C96" s="8" t="s">
        <v>8</v>
      </c>
      <c r="D96" s="7">
        <v>80</v>
      </c>
      <c r="E96" s="6">
        <v>83.4</v>
      </c>
      <c r="F96" s="6">
        <f>D96*0.4+E96*0.6</f>
        <v>82.039999999999992</v>
      </c>
      <c r="G96" s="5"/>
    </row>
    <row r="97" spans="1:7" ht="21" customHeight="1">
      <c r="A97" s="8" t="str">
        <f>"周娜"</f>
        <v>周娜</v>
      </c>
      <c r="B97" s="8">
        <v>20190818</v>
      </c>
      <c r="C97" s="8" t="s">
        <v>8</v>
      </c>
      <c r="D97" s="7">
        <v>79</v>
      </c>
      <c r="E97" s="6">
        <v>84</v>
      </c>
      <c r="F97" s="6">
        <f>D97*0.4+E97*0.6</f>
        <v>82</v>
      </c>
      <c r="G97" s="8"/>
    </row>
    <row r="98" spans="1:7" ht="21" customHeight="1">
      <c r="A98" s="8" t="str">
        <f>"井阳阳"</f>
        <v>井阳阳</v>
      </c>
      <c r="B98" s="8">
        <v>20191120</v>
      </c>
      <c r="C98" s="8" t="s">
        <v>8</v>
      </c>
      <c r="D98" s="7">
        <v>85.5</v>
      </c>
      <c r="E98" s="6">
        <v>79.400000000000006</v>
      </c>
      <c r="F98" s="6">
        <f>D98*0.4+E98*0.6</f>
        <v>81.84</v>
      </c>
      <c r="G98" s="5"/>
    </row>
    <row r="99" spans="1:7" ht="21" customHeight="1">
      <c r="A99" s="8" t="str">
        <f>"李依莎"</f>
        <v>李依莎</v>
      </c>
      <c r="B99" s="8">
        <v>20190507</v>
      </c>
      <c r="C99" s="8" t="s">
        <v>8</v>
      </c>
      <c r="D99" s="7">
        <v>80.5</v>
      </c>
      <c r="E99" s="6">
        <v>82.2</v>
      </c>
      <c r="F99" s="6">
        <f>D99*0.4+E99*0.6</f>
        <v>81.52000000000001</v>
      </c>
      <c r="G99" s="5"/>
    </row>
    <row r="100" spans="1:7" ht="21" customHeight="1">
      <c r="A100" s="8" t="str">
        <f>"张佳玺"</f>
        <v>张佳玺</v>
      </c>
      <c r="B100" s="8">
        <v>20190809</v>
      </c>
      <c r="C100" s="8" t="s">
        <v>8</v>
      </c>
      <c r="D100" s="7">
        <v>79.5</v>
      </c>
      <c r="E100" s="6">
        <v>82.4</v>
      </c>
      <c r="F100" s="6">
        <f>D100*0.4+E100*0.6</f>
        <v>81.240000000000009</v>
      </c>
      <c r="G100" s="8"/>
    </row>
    <row r="101" spans="1:7" ht="21" customHeight="1">
      <c r="A101" s="8" t="str">
        <f>"蔺丹"</f>
        <v>蔺丹</v>
      </c>
      <c r="B101" s="8">
        <v>20190504</v>
      </c>
      <c r="C101" s="8" t="s">
        <v>8</v>
      </c>
      <c r="D101" s="7">
        <v>81.5</v>
      </c>
      <c r="E101" s="6">
        <v>80.400000000000006</v>
      </c>
      <c r="F101" s="6">
        <f>D101*0.4+E101*0.6</f>
        <v>80.84</v>
      </c>
      <c r="G101" s="8"/>
    </row>
    <row r="102" spans="1:7" ht="21" customHeight="1">
      <c r="A102" s="8" t="str">
        <f>"赵倩"</f>
        <v>赵倩</v>
      </c>
      <c r="B102" s="8">
        <v>20191022</v>
      </c>
      <c r="C102" s="8" t="s">
        <v>8</v>
      </c>
      <c r="D102" s="7">
        <v>80</v>
      </c>
      <c r="E102" s="6">
        <v>80.8</v>
      </c>
      <c r="F102" s="6">
        <f>D102*0.4+E102*0.6</f>
        <v>80.47999999999999</v>
      </c>
      <c r="G102" s="5"/>
    </row>
    <row r="103" spans="1:7" ht="21" customHeight="1">
      <c r="A103" s="8" t="str">
        <f>"陈晴"</f>
        <v>陈晴</v>
      </c>
      <c r="B103" s="8">
        <v>20191108</v>
      </c>
      <c r="C103" s="8" t="s">
        <v>8</v>
      </c>
      <c r="D103" s="7">
        <v>78.5</v>
      </c>
      <c r="E103" s="6">
        <v>81.2</v>
      </c>
      <c r="F103" s="6">
        <f>D103*0.4+E103*0.6</f>
        <v>80.12</v>
      </c>
      <c r="G103" s="5"/>
    </row>
    <row r="104" spans="1:7" ht="21" customHeight="1">
      <c r="A104" s="8" t="str">
        <f>"李梦莎"</f>
        <v>李梦莎</v>
      </c>
      <c r="B104" s="8">
        <v>20191025</v>
      </c>
      <c r="C104" s="8" t="s">
        <v>8</v>
      </c>
      <c r="D104" s="7">
        <v>79</v>
      </c>
      <c r="E104" s="6">
        <v>80.400000000000006</v>
      </c>
      <c r="F104" s="6">
        <f>D104*0.4+E104*0.6</f>
        <v>79.84</v>
      </c>
      <c r="G104" s="5"/>
    </row>
    <row r="105" spans="1:7" ht="21" customHeight="1">
      <c r="A105" s="8" t="str">
        <f>"曹婷婷"</f>
        <v>曹婷婷</v>
      </c>
      <c r="B105" s="8">
        <v>20191007</v>
      </c>
      <c r="C105" s="8" t="s">
        <v>8</v>
      </c>
      <c r="D105" s="7">
        <v>79</v>
      </c>
      <c r="E105" s="6">
        <v>78.8</v>
      </c>
      <c r="F105" s="6">
        <f>D105*0.4+E105*0.6</f>
        <v>78.88</v>
      </c>
      <c r="G105" s="8"/>
    </row>
    <row r="106" spans="1:7" ht="21" customHeight="1">
      <c r="A106" s="8" t="str">
        <f>"焦阳"</f>
        <v>焦阳</v>
      </c>
      <c r="B106" s="8">
        <v>20190725</v>
      </c>
      <c r="C106" s="8" t="s">
        <v>8</v>
      </c>
      <c r="D106" s="7">
        <v>80</v>
      </c>
      <c r="E106" s="6">
        <v>78</v>
      </c>
      <c r="F106" s="6">
        <f>D106*0.4+E106*0.6</f>
        <v>78.8</v>
      </c>
      <c r="G106" s="8"/>
    </row>
    <row r="107" spans="1:7" ht="21" customHeight="1">
      <c r="A107" s="8" t="str">
        <f>"聂田甜"</f>
        <v>聂田甜</v>
      </c>
      <c r="B107" s="8">
        <v>20191021</v>
      </c>
      <c r="C107" s="8" t="s">
        <v>8</v>
      </c>
      <c r="D107" s="7">
        <v>80.5</v>
      </c>
      <c r="E107" s="6">
        <v>77.599999999999994</v>
      </c>
      <c r="F107" s="6">
        <f>D107*0.4+E107*0.6</f>
        <v>78.759999999999991</v>
      </c>
      <c r="G107" s="5"/>
    </row>
    <row r="108" spans="1:7" ht="21" customHeight="1">
      <c r="A108" s="11" t="str">
        <f>"刘鑫鑫"</f>
        <v>刘鑫鑫</v>
      </c>
      <c r="B108" s="11">
        <v>20190518</v>
      </c>
      <c r="C108" s="11" t="s">
        <v>8</v>
      </c>
      <c r="D108" s="10">
        <v>79.5</v>
      </c>
      <c r="E108" s="6">
        <v>78</v>
      </c>
      <c r="F108" s="6">
        <f>D108*0.4+E108*0.6</f>
        <v>78.599999999999994</v>
      </c>
      <c r="G108" s="5"/>
    </row>
    <row r="109" spans="1:7" ht="21" customHeight="1">
      <c r="A109" s="8" t="str">
        <f>"杨静怡"</f>
        <v>杨静怡</v>
      </c>
      <c r="B109" s="8">
        <v>20190915</v>
      </c>
      <c r="C109" s="8" t="s">
        <v>8</v>
      </c>
      <c r="D109" s="7">
        <v>78.5</v>
      </c>
      <c r="E109" s="6">
        <v>78.2</v>
      </c>
      <c r="F109" s="6">
        <f>D109*0.4+E109*0.6</f>
        <v>78.320000000000007</v>
      </c>
      <c r="G109" s="5"/>
    </row>
    <row r="110" spans="1:7" ht="21" customHeight="1">
      <c r="A110" s="8" t="str">
        <f>"戚春雨"</f>
        <v>戚春雨</v>
      </c>
      <c r="B110" s="8">
        <v>20190908</v>
      </c>
      <c r="C110" s="8" t="s">
        <v>8</v>
      </c>
      <c r="D110" s="7">
        <v>80.5</v>
      </c>
      <c r="E110" s="6" t="s">
        <v>7</v>
      </c>
      <c r="F110" s="6"/>
      <c r="G110" s="5"/>
    </row>
    <row r="111" spans="1:7" ht="21" customHeight="1">
      <c r="A111" s="8" t="str">
        <f>"付雨薇"</f>
        <v>付雨薇</v>
      </c>
      <c r="B111" s="8">
        <v>20190708</v>
      </c>
      <c r="C111" s="8" t="s">
        <v>8</v>
      </c>
      <c r="D111" s="7">
        <v>80.5</v>
      </c>
      <c r="E111" s="6" t="s">
        <v>7</v>
      </c>
      <c r="F111" s="6"/>
      <c r="G111" s="5"/>
    </row>
    <row r="112" spans="1:7" ht="21" customHeight="1">
      <c r="A112" s="8" t="str">
        <f>"文丽瑞"</f>
        <v>文丽瑞</v>
      </c>
      <c r="B112" s="8">
        <v>20190924</v>
      </c>
      <c r="C112" s="8" t="s">
        <v>8</v>
      </c>
      <c r="D112" s="7">
        <v>79.5</v>
      </c>
      <c r="E112" s="6" t="s">
        <v>7</v>
      </c>
      <c r="F112" s="6"/>
      <c r="G112" s="5"/>
    </row>
    <row r="113" spans="1:7" ht="21" customHeight="1">
      <c r="A113" s="8" t="str">
        <f>"徐曼"</f>
        <v>徐曼</v>
      </c>
      <c r="B113" s="8">
        <v>20191306</v>
      </c>
      <c r="C113" s="8" t="s">
        <v>6</v>
      </c>
      <c r="D113" s="7">
        <v>90.5</v>
      </c>
      <c r="E113" s="6">
        <v>90</v>
      </c>
      <c r="F113" s="6">
        <f>D113*0.4+E113*0.6</f>
        <v>90.2</v>
      </c>
      <c r="G113" s="5"/>
    </row>
    <row r="114" spans="1:7" ht="21" customHeight="1">
      <c r="A114" s="8" t="str">
        <f>"田亚楠"</f>
        <v>田亚楠</v>
      </c>
      <c r="B114" s="8">
        <v>20191819</v>
      </c>
      <c r="C114" s="8" t="s">
        <v>6</v>
      </c>
      <c r="D114" s="7">
        <v>82.5</v>
      </c>
      <c r="E114" s="6">
        <v>92</v>
      </c>
      <c r="F114" s="6">
        <f>D114*0.4+E114*0.6</f>
        <v>88.199999999999989</v>
      </c>
      <c r="G114" s="5"/>
    </row>
    <row r="115" spans="1:7" ht="21" customHeight="1">
      <c r="A115" s="8" t="str">
        <f>"陈婷"</f>
        <v>陈婷</v>
      </c>
      <c r="B115" s="8">
        <v>20191210</v>
      </c>
      <c r="C115" s="8" t="s">
        <v>6</v>
      </c>
      <c r="D115" s="7">
        <v>82.5</v>
      </c>
      <c r="E115" s="6">
        <v>91.6</v>
      </c>
      <c r="F115" s="6">
        <f>D115*0.4+E115*0.6</f>
        <v>87.96</v>
      </c>
      <c r="G115" s="5"/>
    </row>
    <row r="116" spans="1:7" ht="21" customHeight="1">
      <c r="A116" s="8" t="str">
        <f>"李迎仙"</f>
        <v>李迎仙</v>
      </c>
      <c r="B116" s="8">
        <v>20191921</v>
      </c>
      <c r="C116" s="8" t="s">
        <v>6</v>
      </c>
      <c r="D116" s="7">
        <v>85</v>
      </c>
      <c r="E116" s="6">
        <v>89.2</v>
      </c>
      <c r="F116" s="6">
        <f>D116*0.4+E116*0.6</f>
        <v>87.52000000000001</v>
      </c>
      <c r="G116" s="5"/>
    </row>
    <row r="117" spans="1:7" ht="21" customHeight="1">
      <c r="A117" s="8" t="str">
        <f>"孙丽莹"</f>
        <v>孙丽莹</v>
      </c>
      <c r="B117" s="8">
        <v>20191223</v>
      </c>
      <c r="C117" s="8" t="s">
        <v>6</v>
      </c>
      <c r="D117" s="7">
        <v>80</v>
      </c>
      <c r="E117" s="6">
        <v>92.4</v>
      </c>
      <c r="F117" s="6">
        <f>D117*0.4+E117*0.6</f>
        <v>87.44</v>
      </c>
      <c r="G117" s="5"/>
    </row>
    <row r="118" spans="1:7" ht="21" customHeight="1">
      <c r="A118" s="8" t="str">
        <f>"陈京丽"</f>
        <v>陈京丽</v>
      </c>
      <c r="B118" s="8">
        <v>20191228</v>
      </c>
      <c r="C118" s="8" t="s">
        <v>6</v>
      </c>
      <c r="D118" s="7">
        <v>82</v>
      </c>
      <c r="E118" s="6">
        <v>91</v>
      </c>
      <c r="F118" s="6">
        <f>D118*0.4+E118*0.6</f>
        <v>87.4</v>
      </c>
      <c r="G118" s="8"/>
    </row>
    <row r="119" spans="1:7" ht="21" customHeight="1">
      <c r="A119" s="8" t="str">
        <f>"刘振华"</f>
        <v>刘振华</v>
      </c>
      <c r="B119" s="8">
        <v>20191509</v>
      </c>
      <c r="C119" s="8" t="s">
        <v>6</v>
      </c>
      <c r="D119" s="7">
        <v>81.5</v>
      </c>
      <c r="E119" s="6">
        <v>91.2</v>
      </c>
      <c r="F119" s="6">
        <f>D119*0.4+E119*0.6</f>
        <v>87.32</v>
      </c>
      <c r="G119" s="5"/>
    </row>
    <row r="120" spans="1:7" ht="21" customHeight="1">
      <c r="A120" s="8" t="str">
        <f>"张宁"</f>
        <v>张宁</v>
      </c>
      <c r="B120" s="8">
        <v>20191720</v>
      </c>
      <c r="C120" s="8" t="s">
        <v>6</v>
      </c>
      <c r="D120" s="7">
        <v>82</v>
      </c>
      <c r="E120" s="6">
        <v>90.6</v>
      </c>
      <c r="F120" s="6">
        <f>D120*0.4+E120*0.6</f>
        <v>87.16</v>
      </c>
      <c r="G120" s="5"/>
    </row>
    <row r="121" spans="1:7" ht="21" customHeight="1">
      <c r="A121" s="8" t="str">
        <f>"梁尧"</f>
        <v>梁尧</v>
      </c>
      <c r="B121" s="8">
        <v>20191909</v>
      </c>
      <c r="C121" s="8" t="s">
        <v>6</v>
      </c>
      <c r="D121" s="7">
        <v>84</v>
      </c>
      <c r="E121" s="6">
        <v>89.2</v>
      </c>
      <c r="F121" s="6">
        <f>D121*0.4+E121*0.6</f>
        <v>87.12</v>
      </c>
      <c r="G121" s="5"/>
    </row>
    <row r="122" spans="1:7" ht="21" customHeight="1">
      <c r="A122" s="8" t="str">
        <f>"樊雅玲"</f>
        <v>樊雅玲</v>
      </c>
      <c r="B122" s="8">
        <v>20191314</v>
      </c>
      <c r="C122" s="8" t="s">
        <v>6</v>
      </c>
      <c r="D122" s="7">
        <v>82.5</v>
      </c>
      <c r="E122" s="6">
        <v>90.2</v>
      </c>
      <c r="F122" s="6">
        <f>D122*0.4+E122*0.6</f>
        <v>87.12</v>
      </c>
      <c r="G122" s="5"/>
    </row>
    <row r="123" spans="1:7" ht="21" customHeight="1">
      <c r="A123" s="8" t="str">
        <f>"王冰"</f>
        <v>王冰</v>
      </c>
      <c r="B123" s="8">
        <v>20191926</v>
      </c>
      <c r="C123" s="8" t="s">
        <v>6</v>
      </c>
      <c r="D123" s="7">
        <v>82</v>
      </c>
      <c r="E123" s="6">
        <v>90.2</v>
      </c>
      <c r="F123" s="6">
        <f>D123*0.4+E123*0.6</f>
        <v>86.92</v>
      </c>
      <c r="G123" s="5"/>
    </row>
    <row r="124" spans="1:7" ht="21" customHeight="1">
      <c r="A124" s="8" t="str">
        <f>"宋雪玲"</f>
        <v>宋雪玲</v>
      </c>
      <c r="B124" s="8">
        <v>20191611</v>
      </c>
      <c r="C124" s="8" t="s">
        <v>6</v>
      </c>
      <c r="D124" s="7">
        <v>81</v>
      </c>
      <c r="E124" s="6">
        <v>90.8</v>
      </c>
      <c r="F124" s="6">
        <f>D124*0.4+E124*0.6</f>
        <v>86.88</v>
      </c>
      <c r="G124" s="5"/>
    </row>
    <row r="125" spans="1:7" ht="21" customHeight="1">
      <c r="A125" s="8" t="str">
        <f>"段苏倩"</f>
        <v>段苏倩</v>
      </c>
      <c r="B125" s="8">
        <v>20191414</v>
      </c>
      <c r="C125" s="8" t="s">
        <v>6</v>
      </c>
      <c r="D125" s="7">
        <v>84.5</v>
      </c>
      <c r="E125" s="6">
        <v>88.4</v>
      </c>
      <c r="F125" s="6">
        <f>D125*0.4+E125*0.6</f>
        <v>86.84</v>
      </c>
      <c r="G125" s="5"/>
    </row>
    <row r="126" spans="1:7" ht="21" customHeight="1">
      <c r="A126" s="8" t="str">
        <f>"曹丝"</f>
        <v>曹丝</v>
      </c>
      <c r="B126" s="8">
        <v>20191702</v>
      </c>
      <c r="C126" s="8" t="s">
        <v>6</v>
      </c>
      <c r="D126" s="7">
        <v>82</v>
      </c>
      <c r="E126" s="6">
        <v>90</v>
      </c>
      <c r="F126" s="6">
        <f>D126*0.4+E126*0.6</f>
        <v>86.800000000000011</v>
      </c>
      <c r="G126" s="5"/>
    </row>
    <row r="127" spans="1:7" ht="21" customHeight="1">
      <c r="A127" s="8" t="str">
        <f>"刘小宇"</f>
        <v>刘小宇</v>
      </c>
      <c r="B127" s="8">
        <v>20191616</v>
      </c>
      <c r="C127" s="8" t="s">
        <v>6</v>
      </c>
      <c r="D127" s="7">
        <v>82</v>
      </c>
      <c r="E127" s="6">
        <v>90</v>
      </c>
      <c r="F127" s="6">
        <f>D127*0.4+E127*0.6</f>
        <v>86.800000000000011</v>
      </c>
      <c r="G127" s="5"/>
    </row>
    <row r="128" spans="1:7" ht="21" customHeight="1">
      <c r="A128" s="8" t="str">
        <f>"屈江"</f>
        <v>屈江</v>
      </c>
      <c r="B128" s="8">
        <v>20191929</v>
      </c>
      <c r="C128" s="8" t="s">
        <v>6</v>
      </c>
      <c r="D128" s="7">
        <v>84.5</v>
      </c>
      <c r="E128" s="6">
        <v>88.2</v>
      </c>
      <c r="F128" s="6">
        <f>D128*0.4+E128*0.6</f>
        <v>86.72</v>
      </c>
      <c r="G128" s="5"/>
    </row>
    <row r="129" spans="1:7" ht="21" customHeight="1">
      <c r="A129" s="8" t="str">
        <f>"贺欣"</f>
        <v>贺欣</v>
      </c>
      <c r="B129" s="8">
        <v>20191825</v>
      </c>
      <c r="C129" s="8" t="s">
        <v>6</v>
      </c>
      <c r="D129" s="7">
        <v>83</v>
      </c>
      <c r="E129" s="6">
        <v>89.2</v>
      </c>
      <c r="F129" s="6">
        <f>D129*0.4+E129*0.6</f>
        <v>86.72</v>
      </c>
      <c r="G129" s="5"/>
    </row>
    <row r="130" spans="1:7" ht="21" customHeight="1">
      <c r="A130" s="8" t="str">
        <f>"潘娜"</f>
        <v>潘娜</v>
      </c>
      <c r="B130" s="8">
        <v>20191812</v>
      </c>
      <c r="C130" s="8" t="s">
        <v>6</v>
      </c>
      <c r="D130" s="7">
        <v>85</v>
      </c>
      <c r="E130" s="6">
        <v>87.8</v>
      </c>
      <c r="F130" s="6">
        <f>D130*0.4+E130*0.6</f>
        <v>86.68</v>
      </c>
      <c r="G130" s="5"/>
    </row>
    <row r="131" spans="1:7" ht="21" customHeight="1">
      <c r="A131" s="8" t="str">
        <f>"归玉洁"</f>
        <v>归玉洁</v>
      </c>
      <c r="B131" s="8">
        <v>20191617</v>
      </c>
      <c r="C131" s="8" t="s">
        <v>6</v>
      </c>
      <c r="D131" s="7">
        <v>80.5</v>
      </c>
      <c r="E131" s="6">
        <v>90.6</v>
      </c>
      <c r="F131" s="6">
        <f>D131*0.4+E131*0.6</f>
        <v>86.56</v>
      </c>
      <c r="G131" s="8"/>
    </row>
    <row r="132" spans="1:7" ht="21" customHeight="1">
      <c r="A132" s="8" t="str">
        <f>"晋晓曈"</f>
        <v>晋晓曈</v>
      </c>
      <c r="B132" s="8">
        <v>20191220</v>
      </c>
      <c r="C132" s="8" t="s">
        <v>6</v>
      </c>
      <c r="D132" s="7">
        <v>82</v>
      </c>
      <c r="E132" s="6">
        <v>89.4</v>
      </c>
      <c r="F132" s="6">
        <f>D132*0.4+E132*0.6</f>
        <v>86.44</v>
      </c>
      <c r="G132" s="5"/>
    </row>
    <row r="133" spans="1:7" ht="21" customHeight="1">
      <c r="A133" s="8" t="str">
        <f>"何航"</f>
        <v>何航</v>
      </c>
      <c r="B133" s="8">
        <v>20191718</v>
      </c>
      <c r="C133" s="8" t="s">
        <v>6</v>
      </c>
      <c r="D133" s="12">
        <v>83.5</v>
      </c>
      <c r="E133" s="6">
        <v>88.2</v>
      </c>
      <c r="F133" s="6">
        <f>D133*0.4+E133*0.6</f>
        <v>86.32</v>
      </c>
      <c r="G133" s="8"/>
    </row>
    <row r="134" spans="1:7" ht="21" customHeight="1">
      <c r="A134" s="8" t="str">
        <f>"王玲玲"</f>
        <v>王玲玲</v>
      </c>
      <c r="B134" s="8">
        <v>20191207</v>
      </c>
      <c r="C134" s="8" t="s">
        <v>6</v>
      </c>
      <c r="D134" s="7">
        <v>83.5</v>
      </c>
      <c r="E134" s="6">
        <v>88</v>
      </c>
      <c r="F134" s="6">
        <f>D134*0.4+E134*0.6</f>
        <v>86.199999999999989</v>
      </c>
      <c r="G134" s="8"/>
    </row>
    <row r="135" spans="1:7" ht="21" customHeight="1">
      <c r="A135" s="8" t="str">
        <f>"张璐"</f>
        <v>张璐</v>
      </c>
      <c r="B135" s="8">
        <v>20191614</v>
      </c>
      <c r="C135" s="8" t="s">
        <v>6</v>
      </c>
      <c r="D135" s="7">
        <v>81</v>
      </c>
      <c r="E135" s="6">
        <v>89.6</v>
      </c>
      <c r="F135" s="6">
        <f>D135*0.4+E135*0.6</f>
        <v>86.16</v>
      </c>
      <c r="G135" s="5"/>
    </row>
    <row r="136" spans="1:7" ht="21" customHeight="1">
      <c r="A136" s="8" t="str">
        <f>"李丽"</f>
        <v>李丽</v>
      </c>
      <c r="B136" s="8">
        <v>20191801</v>
      </c>
      <c r="C136" s="8" t="s">
        <v>6</v>
      </c>
      <c r="D136" s="7">
        <v>81</v>
      </c>
      <c r="E136" s="6">
        <v>89.6</v>
      </c>
      <c r="F136" s="6">
        <f>D136*0.4+E136*0.6</f>
        <v>86.16</v>
      </c>
      <c r="G136" s="8"/>
    </row>
    <row r="137" spans="1:7" ht="21" customHeight="1">
      <c r="A137" s="8" t="str">
        <f>"田珊珊"</f>
        <v>田珊珊</v>
      </c>
      <c r="B137" s="8">
        <v>20191519</v>
      </c>
      <c r="C137" s="8" t="s">
        <v>6</v>
      </c>
      <c r="D137" s="7">
        <v>82</v>
      </c>
      <c r="E137" s="6">
        <v>88.4</v>
      </c>
      <c r="F137" s="6">
        <f>D137*0.4+E137*0.6</f>
        <v>85.84</v>
      </c>
      <c r="G137" s="5"/>
    </row>
    <row r="138" spans="1:7" ht="21" customHeight="1">
      <c r="A138" s="8" t="str">
        <f>"刘新"</f>
        <v>刘新</v>
      </c>
      <c r="B138" s="8">
        <v>20191927</v>
      </c>
      <c r="C138" s="8" t="s">
        <v>6</v>
      </c>
      <c r="D138" s="7">
        <v>82</v>
      </c>
      <c r="E138" s="6">
        <v>88.4</v>
      </c>
      <c r="F138" s="6">
        <f>D138*0.4+E138*0.6</f>
        <v>85.84</v>
      </c>
      <c r="G138" s="5"/>
    </row>
    <row r="139" spans="1:7" ht="21" customHeight="1">
      <c r="A139" s="8" t="str">
        <f>"刘晓丽"</f>
        <v>刘晓丽</v>
      </c>
      <c r="B139" s="8">
        <v>20191307</v>
      </c>
      <c r="C139" s="8" t="s">
        <v>6</v>
      </c>
      <c r="D139" s="7">
        <v>82.5</v>
      </c>
      <c r="E139" s="6">
        <v>87.8</v>
      </c>
      <c r="F139" s="6">
        <f>D139*0.4+E139*0.6</f>
        <v>85.68</v>
      </c>
      <c r="G139" s="5"/>
    </row>
    <row r="140" spans="1:7" ht="21" customHeight="1">
      <c r="A140" s="8" t="str">
        <f>"李晗晗"</f>
        <v>李晗晗</v>
      </c>
      <c r="B140" s="8">
        <v>20191813</v>
      </c>
      <c r="C140" s="8" t="s">
        <v>6</v>
      </c>
      <c r="D140" s="7">
        <v>82</v>
      </c>
      <c r="E140" s="6">
        <v>88</v>
      </c>
      <c r="F140" s="6">
        <f>D140*0.4+E140*0.6</f>
        <v>85.6</v>
      </c>
      <c r="G140" s="5"/>
    </row>
    <row r="141" spans="1:7" ht="21" customHeight="1">
      <c r="A141" s="8" t="str">
        <f>"邢瑶"</f>
        <v>邢瑶</v>
      </c>
      <c r="B141" s="8">
        <v>20191521</v>
      </c>
      <c r="C141" s="8" t="s">
        <v>6</v>
      </c>
      <c r="D141" s="7">
        <v>81.5</v>
      </c>
      <c r="E141" s="6">
        <v>88.2</v>
      </c>
      <c r="F141" s="6">
        <f>D141*0.4+E141*0.6</f>
        <v>85.52000000000001</v>
      </c>
      <c r="G141" s="5"/>
    </row>
    <row r="142" spans="1:7" ht="21" customHeight="1">
      <c r="A142" s="8" t="str">
        <f>"任晓晨"</f>
        <v>任晓晨</v>
      </c>
      <c r="B142" s="8">
        <v>20191604</v>
      </c>
      <c r="C142" s="8" t="s">
        <v>6</v>
      </c>
      <c r="D142" s="7">
        <v>83.5</v>
      </c>
      <c r="E142" s="6">
        <v>86.4</v>
      </c>
      <c r="F142" s="6">
        <f>D142*0.4+E142*0.6</f>
        <v>85.240000000000009</v>
      </c>
      <c r="G142" s="5"/>
    </row>
    <row r="143" spans="1:7" ht="21" customHeight="1">
      <c r="A143" s="8" t="str">
        <f>"孙维品"</f>
        <v>孙维品</v>
      </c>
      <c r="B143" s="8">
        <v>20191303</v>
      </c>
      <c r="C143" s="8" t="s">
        <v>6</v>
      </c>
      <c r="D143" s="12">
        <v>89.5</v>
      </c>
      <c r="E143" s="6">
        <v>82.2</v>
      </c>
      <c r="F143" s="6">
        <f>D143*0.4+E143*0.6</f>
        <v>85.12</v>
      </c>
      <c r="G143" s="8"/>
    </row>
    <row r="144" spans="1:7" ht="21" customHeight="1">
      <c r="A144" s="8" t="str">
        <f>"丁聪宵"</f>
        <v>丁聪宵</v>
      </c>
      <c r="B144" s="8">
        <v>20191615</v>
      </c>
      <c r="C144" s="8" t="s">
        <v>6</v>
      </c>
      <c r="D144" s="7">
        <v>80.5</v>
      </c>
      <c r="E144" s="6">
        <v>88.2</v>
      </c>
      <c r="F144" s="6">
        <f>D144*0.4+E144*0.6</f>
        <v>85.12</v>
      </c>
      <c r="G144" s="5"/>
    </row>
    <row r="145" spans="1:7" ht="21" customHeight="1">
      <c r="A145" s="8" t="str">
        <f>"马玉晗"</f>
        <v>马玉晗</v>
      </c>
      <c r="B145" s="8">
        <v>20191612</v>
      </c>
      <c r="C145" s="8" t="s">
        <v>6</v>
      </c>
      <c r="D145" s="7">
        <v>80</v>
      </c>
      <c r="E145" s="6">
        <v>88.4</v>
      </c>
      <c r="F145" s="6">
        <f>D145*0.4+E145*0.6</f>
        <v>85.039999999999992</v>
      </c>
      <c r="G145" s="5"/>
    </row>
    <row r="146" spans="1:7" ht="21" customHeight="1">
      <c r="A146" s="8" t="str">
        <f>"李莹"</f>
        <v>李莹</v>
      </c>
      <c r="B146" s="8">
        <v>20191423</v>
      </c>
      <c r="C146" s="8" t="s">
        <v>6</v>
      </c>
      <c r="D146" s="7">
        <v>82.5</v>
      </c>
      <c r="E146" s="6">
        <v>86.6</v>
      </c>
      <c r="F146" s="6">
        <f>D146*0.4+E146*0.6</f>
        <v>84.96</v>
      </c>
      <c r="G146" s="8"/>
    </row>
    <row r="147" spans="1:7" ht="21" customHeight="1">
      <c r="A147" s="8" t="str">
        <f>"徐洋"</f>
        <v>徐洋</v>
      </c>
      <c r="B147" s="8">
        <v>20191729</v>
      </c>
      <c r="C147" s="8" t="s">
        <v>6</v>
      </c>
      <c r="D147" s="7">
        <v>79.5</v>
      </c>
      <c r="E147" s="6">
        <v>88</v>
      </c>
      <c r="F147" s="6">
        <f>D147*0.4+E147*0.6</f>
        <v>84.6</v>
      </c>
      <c r="G147" s="5"/>
    </row>
    <row r="148" spans="1:7" ht="21" customHeight="1">
      <c r="A148" s="8" t="str">
        <f>"李雪迪"</f>
        <v>李雪迪</v>
      </c>
      <c r="B148" s="8">
        <v>20191506</v>
      </c>
      <c r="C148" s="8" t="s">
        <v>6</v>
      </c>
      <c r="D148" s="7">
        <v>79.5</v>
      </c>
      <c r="E148" s="6">
        <v>87.6</v>
      </c>
      <c r="F148" s="6">
        <f>D148*0.4+E148*0.6</f>
        <v>84.36</v>
      </c>
      <c r="G148" s="8"/>
    </row>
    <row r="149" spans="1:7" ht="21" customHeight="1">
      <c r="A149" s="8" t="str">
        <f>"赵哲"</f>
        <v>赵哲</v>
      </c>
      <c r="B149" s="8">
        <v>20191727</v>
      </c>
      <c r="C149" s="8" t="s">
        <v>6</v>
      </c>
      <c r="D149" s="7">
        <v>82</v>
      </c>
      <c r="E149" s="6">
        <v>85.2</v>
      </c>
      <c r="F149" s="6">
        <f>D149*0.4+E149*0.6</f>
        <v>83.92</v>
      </c>
      <c r="G149" s="5"/>
    </row>
    <row r="150" spans="1:7" ht="21" customHeight="1">
      <c r="A150" s="8" t="str">
        <f>"段玉宵"</f>
        <v>段玉宵</v>
      </c>
      <c r="B150" s="8">
        <v>20191905</v>
      </c>
      <c r="C150" s="8" t="s">
        <v>6</v>
      </c>
      <c r="D150" s="7">
        <v>82.5</v>
      </c>
      <c r="E150" s="6">
        <v>84.8</v>
      </c>
      <c r="F150" s="6">
        <f>D150*0.4+E150*0.6</f>
        <v>83.88</v>
      </c>
      <c r="G150" s="5"/>
    </row>
    <row r="151" spans="1:7" ht="21" customHeight="1">
      <c r="A151" s="8" t="str">
        <f>"刘雪"</f>
        <v>刘雪</v>
      </c>
      <c r="B151" s="8">
        <v>20191908</v>
      </c>
      <c r="C151" s="8" t="s">
        <v>6</v>
      </c>
      <c r="D151" s="7">
        <v>80</v>
      </c>
      <c r="E151" s="6">
        <v>85.8</v>
      </c>
      <c r="F151" s="6">
        <f>D151*0.4+E151*0.6</f>
        <v>83.47999999999999</v>
      </c>
      <c r="G151" s="8"/>
    </row>
    <row r="152" spans="1:7" ht="21" customHeight="1">
      <c r="A152" s="8" t="str">
        <f>"王江河"</f>
        <v>王江河</v>
      </c>
      <c r="B152" s="8">
        <v>20192005</v>
      </c>
      <c r="C152" s="8" t="s">
        <v>6</v>
      </c>
      <c r="D152" s="7">
        <v>82.5</v>
      </c>
      <c r="E152" s="6">
        <v>83.6</v>
      </c>
      <c r="F152" s="6">
        <f>D152*0.4+E152*0.6</f>
        <v>83.16</v>
      </c>
      <c r="G152" s="5"/>
    </row>
    <row r="153" spans="1:7" ht="21" customHeight="1">
      <c r="A153" s="8" t="str">
        <f>"宋荣玉"</f>
        <v>宋荣玉</v>
      </c>
      <c r="B153" s="8">
        <v>20192004</v>
      </c>
      <c r="C153" s="8" t="s">
        <v>6</v>
      </c>
      <c r="D153" s="7">
        <v>79.5</v>
      </c>
      <c r="E153" s="6">
        <v>85</v>
      </c>
      <c r="F153" s="6">
        <f>D153*0.4+E153*0.6</f>
        <v>82.8</v>
      </c>
      <c r="G153" s="5"/>
    </row>
    <row r="154" spans="1:7" ht="21" customHeight="1">
      <c r="A154" s="8" t="str">
        <f>"于松远"</f>
        <v>于松远</v>
      </c>
      <c r="B154" s="8">
        <v>20191305</v>
      </c>
      <c r="C154" s="8" t="s">
        <v>6</v>
      </c>
      <c r="D154" s="7">
        <v>79.5</v>
      </c>
      <c r="E154" s="6">
        <v>84.6</v>
      </c>
      <c r="F154" s="6">
        <f>D154*0.4+E154*0.6</f>
        <v>82.56</v>
      </c>
      <c r="G154" s="8"/>
    </row>
    <row r="155" spans="1:7" ht="21" customHeight="1">
      <c r="A155" s="11" t="str">
        <f>"冯燕"</f>
        <v>冯燕</v>
      </c>
      <c r="B155" s="11">
        <v>20191817</v>
      </c>
      <c r="C155" s="11" t="s">
        <v>6</v>
      </c>
      <c r="D155" s="10">
        <v>80</v>
      </c>
      <c r="E155" s="6">
        <v>80.8</v>
      </c>
      <c r="F155" s="6">
        <f>D155*0.4+E155*0.6</f>
        <v>80.47999999999999</v>
      </c>
      <c r="G155" s="5"/>
    </row>
    <row r="156" spans="1:7" ht="21" customHeight="1">
      <c r="A156" s="11" t="str">
        <f>"王松瑶"</f>
        <v>王松瑶</v>
      </c>
      <c r="B156" s="11">
        <v>20192018</v>
      </c>
      <c r="C156" s="11" t="s">
        <v>5</v>
      </c>
      <c r="D156" s="10">
        <v>84.5</v>
      </c>
      <c r="E156" s="6">
        <v>88</v>
      </c>
      <c r="F156" s="6">
        <f>D156*0.4+E156*0.6</f>
        <v>86.6</v>
      </c>
      <c r="G156" s="5"/>
    </row>
    <row r="157" spans="1:7" ht="21" customHeight="1">
      <c r="A157" s="8" t="str">
        <f>"刘聪玲"</f>
        <v>刘聪玲</v>
      </c>
      <c r="B157" s="8">
        <v>20192122</v>
      </c>
      <c r="C157" s="8" t="s">
        <v>5</v>
      </c>
      <c r="D157" s="7">
        <v>80</v>
      </c>
      <c r="E157" s="6">
        <v>90</v>
      </c>
      <c r="F157" s="6">
        <f>D157*0.4+E157*0.6</f>
        <v>86</v>
      </c>
      <c r="G157" s="5"/>
    </row>
    <row r="158" spans="1:7" ht="21" customHeight="1">
      <c r="A158" s="8" t="str">
        <f>"李丹"</f>
        <v>李丹</v>
      </c>
      <c r="B158" s="8">
        <v>20192022</v>
      </c>
      <c r="C158" s="8" t="s">
        <v>5</v>
      </c>
      <c r="D158" s="7">
        <v>82.5</v>
      </c>
      <c r="E158" s="6">
        <v>88.285714285714292</v>
      </c>
      <c r="F158" s="6">
        <f>D158*0.4+E158*0.6</f>
        <v>85.971428571428575</v>
      </c>
      <c r="G158" s="5"/>
    </row>
    <row r="159" spans="1:7" ht="21" customHeight="1">
      <c r="A159" s="8" t="str">
        <f>"郭昂"</f>
        <v>郭昂</v>
      </c>
      <c r="B159" s="8">
        <v>20192102</v>
      </c>
      <c r="C159" s="8" t="s">
        <v>5</v>
      </c>
      <c r="D159" s="7">
        <v>81.5</v>
      </c>
      <c r="E159" s="6">
        <v>87.571428571428569</v>
      </c>
      <c r="F159" s="6">
        <f>D159*0.4+E159*0.6</f>
        <v>85.142857142857139</v>
      </c>
      <c r="G159" s="5"/>
    </row>
    <row r="160" spans="1:7" ht="21" customHeight="1">
      <c r="A160" s="8" t="str">
        <f>"陶满珠"</f>
        <v>陶满珠</v>
      </c>
      <c r="B160" s="8">
        <v>20192016</v>
      </c>
      <c r="C160" s="8" t="s">
        <v>5</v>
      </c>
      <c r="D160" s="7">
        <v>78.5</v>
      </c>
      <c r="E160" s="6">
        <v>89.571428571428569</v>
      </c>
      <c r="F160" s="6">
        <f>D160*0.4+E160*0.6</f>
        <v>85.142857142857139</v>
      </c>
      <c r="G160" s="5"/>
    </row>
    <row r="161" spans="1:7" ht="21" customHeight="1">
      <c r="A161" s="8" t="str">
        <f>"王天娇"</f>
        <v>王天娇</v>
      </c>
      <c r="B161" s="8">
        <v>20192110</v>
      </c>
      <c r="C161" s="8" t="s">
        <v>5</v>
      </c>
      <c r="D161" s="7">
        <v>82.5</v>
      </c>
      <c r="E161" s="6">
        <v>86.714285714285708</v>
      </c>
      <c r="F161" s="6">
        <f>D161*0.4+E161*0.6</f>
        <v>85.028571428571425</v>
      </c>
      <c r="G161" s="8"/>
    </row>
    <row r="162" spans="1:7" ht="21" customHeight="1">
      <c r="A162" s="8" t="str">
        <f>"文靖"</f>
        <v>文靖</v>
      </c>
      <c r="B162" s="8">
        <v>20192126</v>
      </c>
      <c r="C162" s="8" t="s">
        <v>5</v>
      </c>
      <c r="D162" s="7">
        <v>77</v>
      </c>
      <c r="E162" s="6">
        <v>90.285714285714292</v>
      </c>
      <c r="F162" s="6">
        <f>D162*0.4+E162*0.6</f>
        <v>84.971428571428575</v>
      </c>
      <c r="G162" s="5"/>
    </row>
    <row r="163" spans="1:7" ht="21" customHeight="1">
      <c r="A163" s="8" t="str">
        <f>"杨一凡"</f>
        <v>杨一凡</v>
      </c>
      <c r="B163" s="8">
        <v>20192017</v>
      </c>
      <c r="C163" s="8" t="s">
        <v>5</v>
      </c>
      <c r="D163" s="7">
        <v>79.5</v>
      </c>
      <c r="E163" s="6">
        <v>88.285714285714292</v>
      </c>
      <c r="F163" s="6">
        <f>D163*0.4+E163*0.6</f>
        <v>84.771428571428572</v>
      </c>
      <c r="G163" s="5"/>
    </row>
    <row r="164" spans="1:7" ht="21" customHeight="1">
      <c r="A164" s="8" t="str">
        <f>"赵东亚"</f>
        <v>赵东亚</v>
      </c>
      <c r="B164" s="8">
        <v>20192020</v>
      </c>
      <c r="C164" s="8" t="s">
        <v>5</v>
      </c>
      <c r="D164" s="7">
        <v>78</v>
      </c>
      <c r="E164" s="6">
        <v>89</v>
      </c>
      <c r="F164" s="6">
        <f>D164*0.4+E164*0.6</f>
        <v>84.6</v>
      </c>
      <c r="G164" s="5"/>
    </row>
    <row r="165" spans="1:7" ht="21" customHeight="1">
      <c r="A165" s="8" t="str">
        <f>"梁烨珍"</f>
        <v>梁烨珍</v>
      </c>
      <c r="B165" s="8">
        <v>20192201</v>
      </c>
      <c r="C165" s="8" t="s">
        <v>5</v>
      </c>
      <c r="D165" s="7">
        <v>79.5</v>
      </c>
      <c r="E165" s="6">
        <v>87.285714285714292</v>
      </c>
      <c r="F165" s="6">
        <f>D165*0.4+E165*0.6</f>
        <v>84.171428571428578</v>
      </c>
      <c r="G165" s="5"/>
    </row>
    <row r="166" spans="1:7" ht="21" customHeight="1">
      <c r="A166" s="8" t="str">
        <f>"刘洋"</f>
        <v>刘洋</v>
      </c>
      <c r="B166" s="8">
        <v>20192027</v>
      </c>
      <c r="C166" s="8" t="s">
        <v>5</v>
      </c>
      <c r="D166" s="7">
        <v>80</v>
      </c>
      <c r="E166" s="6">
        <v>86.857142857142861</v>
      </c>
      <c r="F166" s="6">
        <f>D166*0.4+E166*0.6</f>
        <v>84.114285714285714</v>
      </c>
      <c r="G166" s="5"/>
    </row>
    <row r="167" spans="1:7" ht="21" customHeight="1">
      <c r="A167" s="8" t="str">
        <f>"黄亚丽"</f>
        <v>黄亚丽</v>
      </c>
      <c r="B167" s="8">
        <v>20192029</v>
      </c>
      <c r="C167" s="8" t="s">
        <v>5</v>
      </c>
      <c r="D167" s="7">
        <v>81.5</v>
      </c>
      <c r="E167" s="6">
        <v>84.857142857142861</v>
      </c>
      <c r="F167" s="6">
        <f>D167*0.4+E167*0.6</f>
        <v>83.51428571428572</v>
      </c>
      <c r="G167" s="5"/>
    </row>
    <row r="168" spans="1:7" ht="21" customHeight="1">
      <c r="A168" s="8" t="str">
        <f>"蒋亚亚"</f>
        <v>蒋亚亚</v>
      </c>
      <c r="B168" s="8">
        <v>20192019</v>
      </c>
      <c r="C168" s="8" t="s">
        <v>5</v>
      </c>
      <c r="D168" s="7">
        <v>75.5</v>
      </c>
      <c r="E168" s="6">
        <v>88.428571428571431</v>
      </c>
      <c r="F168" s="6">
        <f>D168*0.4+E168*0.6</f>
        <v>83.257142857142867</v>
      </c>
      <c r="G168" s="5"/>
    </row>
    <row r="169" spans="1:7" ht="21" customHeight="1">
      <c r="A169" s="8" t="str">
        <f>"骆京"</f>
        <v>骆京</v>
      </c>
      <c r="B169" s="8">
        <v>20192025</v>
      </c>
      <c r="C169" s="8" t="s">
        <v>5</v>
      </c>
      <c r="D169" s="7">
        <v>79</v>
      </c>
      <c r="E169" s="6">
        <v>86</v>
      </c>
      <c r="F169" s="6">
        <f>D169*0.4+E169*0.6</f>
        <v>83.2</v>
      </c>
      <c r="G169" s="5"/>
    </row>
    <row r="170" spans="1:7" ht="21" customHeight="1">
      <c r="A170" s="8" t="str">
        <f>"张静敏"</f>
        <v>张静敏</v>
      </c>
      <c r="B170" s="8">
        <v>20192024</v>
      </c>
      <c r="C170" s="8" t="s">
        <v>5</v>
      </c>
      <c r="D170" s="7">
        <v>78</v>
      </c>
      <c r="E170" s="6">
        <v>85.428571428571431</v>
      </c>
      <c r="F170" s="6">
        <f>D170*0.4+E170*0.6</f>
        <v>82.457142857142856</v>
      </c>
      <c r="G170" s="5"/>
    </row>
    <row r="171" spans="1:7" ht="21" customHeight="1">
      <c r="A171" s="8" t="str">
        <f>"李智倩"</f>
        <v>李智倩</v>
      </c>
      <c r="B171" s="8">
        <v>20192021</v>
      </c>
      <c r="C171" s="8" t="s">
        <v>5</v>
      </c>
      <c r="D171" s="7">
        <v>75</v>
      </c>
      <c r="E171" s="6">
        <v>87.142857142857139</v>
      </c>
      <c r="F171" s="6">
        <f>D171*0.4+E171*0.6</f>
        <v>82.285714285714278</v>
      </c>
      <c r="G171" s="8"/>
    </row>
    <row r="172" spans="1:7" ht="21" customHeight="1">
      <c r="A172" s="8" t="str">
        <f>"廖雪帆"</f>
        <v>廖雪帆</v>
      </c>
      <c r="B172" s="8">
        <v>20192202</v>
      </c>
      <c r="C172" s="8" t="s">
        <v>5</v>
      </c>
      <c r="D172" s="7">
        <v>75</v>
      </c>
      <c r="E172" s="6">
        <v>80.571428571428569</v>
      </c>
      <c r="F172" s="6">
        <f>D172*0.4+E172*0.6</f>
        <v>78.342857142857142</v>
      </c>
      <c r="G172" s="5"/>
    </row>
    <row r="173" spans="1:7" ht="21" customHeight="1">
      <c r="A173" s="11" t="str">
        <f>"左司晨"</f>
        <v>左司晨</v>
      </c>
      <c r="B173" s="11">
        <v>20192129</v>
      </c>
      <c r="C173" s="11" t="s">
        <v>5</v>
      </c>
      <c r="D173" s="10">
        <v>81</v>
      </c>
      <c r="E173" s="6" t="s">
        <v>4</v>
      </c>
      <c r="F173" s="6"/>
      <c r="G173" s="8"/>
    </row>
    <row r="174" spans="1:7" s="9" customFormat="1" ht="21" customHeight="1">
      <c r="A174" s="8" t="str">
        <f>"王露"</f>
        <v>王露</v>
      </c>
      <c r="B174" s="8">
        <v>20192118</v>
      </c>
      <c r="C174" s="8" t="s">
        <v>5</v>
      </c>
      <c r="D174" s="7">
        <v>76</v>
      </c>
      <c r="E174" s="6" t="s">
        <v>4</v>
      </c>
      <c r="F174" s="6"/>
      <c r="G174" s="8"/>
    </row>
    <row r="175" spans="1:7" ht="21" customHeight="1">
      <c r="A175" s="8" t="str">
        <f>"樊婷"</f>
        <v>樊婷</v>
      </c>
      <c r="B175" s="8">
        <v>20192211</v>
      </c>
      <c r="C175" s="8" t="s">
        <v>3</v>
      </c>
      <c r="D175" s="7">
        <v>78.5</v>
      </c>
      <c r="E175" s="6">
        <v>92.285714285714292</v>
      </c>
      <c r="F175" s="6">
        <f>D175*0.4+E175*0.6</f>
        <v>86.771428571428572</v>
      </c>
      <c r="G175" s="5"/>
    </row>
    <row r="176" spans="1:7" ht="21" customHeight="1">
      <c r="A176" s="8" t="str">
        <f>"全江孔"</f>
        <v>全江孔</v>
      </c>
      <c r="B176" s="8">
        <v>20192204</v>
      </c>
      <c r="C176" s="8" t="s">
        <v>3</v>
      </c>
      <c r="D176" s="7">
        <v>79.5</v>
      </c>
      <c r="E176" s="6">
        <v>91.285714285714292</v>
      </c>
      <c r="F176" s="6">
        <f>D176*0.4+E176*0.6</f>
        <v>86.571428571428569</v>
      </c>
      <c r="G176" s="5"/>
    </row>
    <row r="177" spans="1:7" ht="21" customHeight="1">
      <c r="A177" s="8" t="str">
        <f>"杜雅倩"</f>
        <v>杜雅倩</v>
      </c>
      <c r="B177" s="8">
        <v>20192205</v>
      </c>
      <c r="C177" s="8" t="s">
        <v>3</v>
      </c>
      <c r="D177" s="7">
        <v>80</v>
      </c>
      <c r="E177" s="6">
        <v>87.142857142857139</v>
      </c>
      <c r="F177" s="6">
        <f>D177*0.4+E177*0.6</f>
        <v>84.285714285714278</v>
      </c>
      <c r="G177" s="5"/>
    </row>
    <row r="178" spans="1:7" ht="21" customHeight="1">
      <c r="A178" s="8" t="str">
        <f>"赵俊杰"</f>
        <v>赵俊杰</v>
      </c>
      <c r="B178" s="8">
        <v>20192206</v>
      </c>
      <c r="C178" s="8" t="s">
        <v>3</v>
      </c>
      <c r="D178" s="7">
        <v>79</v>
      </c>
      <c r="E178" s="6">
        <v>87.571428571428569</v>
      </c>
      <c r="F178" s="6">
        <f>D178*0.4+E178*0.6</f>
        <v>84.142857142857139</v>
      </c>
      <c r="G178" s="5"/>
    </row>
    <row r="179" spans="1:7" ht="21" customHeight="1">
      <c r="A179" s="8" t="str">
        <f>"芦良雨"</f>
        <v>芦良雨</v>
      </c>
      <c r="B179" s="8">
        <v>20192220</v>
      </c>
      <c r="C179" s="8" t="s">
        <v>2</v>
      </c>
      <c r="D179" s="7">
        <v>77.5</v>
      </c>
      <c r="E179" s="6">
        <v>88.571428571428569</v>
      </c>
      <c r="F179" s="6">
        <f>D179*0.4+E179*0.6</f>
        <v>84.142857142857139</v>
      </c>
      <c r="G179" s="5"/>
    </row>
    <row r="180" spans="1:7" ht="21" customHeight="1">
      <c r="A180" s="8" t="str">
        <f>"刘平"</f>
        <v>刘平</v>
      </c>
      <c r="B180" s="8">
        <v>20192307</v>
      </c>
      <c r="C180" s="8" t="s">
        <v>2</v>
      </c>
      <c r="D180" s="7">
        <v>77.5</v>
      </c>
      <c r="E180" s="6">
        <v>87.571428571428569</v>
      </c>
      <c r="F180" s="6">
        <f>D180*0.4+E180*0.6</f>
        <v>83.542857142857144</v>
      </c>
      <c r="G180" s="5"/>
    </row>
    <row r="181" spans="1:7" ht="21" customHeight="1">
      <c r="A181" s="8" t="str">
        <f>"李璇"</f>
        <v>李璇</v>
      </c>
      <c r="B181" s="8">
        <v>20192226</v>
      </c>
      <c r="C181" s="8" t="s">
        <v>2</v>
      </c>
      <c r="D181" s="7">
        <v>75</v>
      </c>
      <c r="E181" s="6">
        <v>87.285714285714292</v>
      </c>
      <c r="F181" s="6">
        <f>D181*0.4+E181*0.6</f>
        <v>82.371428571428567</v>
      </c>
      <c r="G181" s="5"/>
    </row>
    <row r="182" spans="1:7" ht="21" customHeight="1">
      <c r="A182" s="8" t="str">
        <f>"刘冰冰"</f>
        <v>刘冰冰</v>
      </c>
      <c r="B182" s="8">
        <v>20192218</v>
      </c>
      <c r="C182" s="8" t="s">
        <v>2</v>
      </c>
      <c r="D182" s="7">
        <v>79.5</v>
      </c>
      <c r="E182" s="6">
        <v>84</v>
      </c>
      <c r="F182" s="6">
        <f>D182*0.4+E182*0.6</f>
        <v>82.2</v>
      </c>
      <c r="G182" s="8"/>
    </row>
    <row r="183" spans="1:7" ht="21" customHeight="1">
      <c r="A183" s="8" t="str">
        <f>"赵恒"</f>
        <v>赵恒</v>
      </c>
      <c r="B183" s="8">
        <v>20192217</v>
      </c>
      <c r="C183" s="8" t="s">
        <v>2</v>
      </c>
      <c r="D183" s="7">
        <v>75</v>
      </c>
      <c r="E183" s="6">
        <v>85.571428571428569</v>
      </c>
      <c r="F183" s="6">
        <f>D183*0.4+E183*0.6</f>
        <v>81.342857142857142</v>
      </c>
      <c r="G183" s="8"/>
    </row>
    <row r="184" spans="1:7" ht="21" customHeight="1">
      <c r="A184" s="8" t="str">
        <f>"齐少康"</f>
        <v>齐少康</v>
      </c>
      <c r="B184" s="8">
        <v>20192309</v>
      </c>
      <c r="C184" s="8" t="s">
        <v>2</v>
      </c>
      <c r="D184" s="7">
        <v>77.5</v>
      </c>
      <c r="E184" s="6">
        <v>80.714285714285708</v>
      </c>
      <c r="F184" s="6">
        <f>D184*0.4+E184*0.6</f>
        <v>79.428571428571416</v>
      </c>
      <c r="G184" s="5"/>
    </row>
    <row r="185" spans="1:7" ht="21" customHeight="1">
      <c r="A185" s="8" t="str">
        <f>"刘泽帮"</f>
        <v>刘泽帮</v>
      </c>
      <c r="B185" s="8">
        <v>20192311</v>
      </c>
      <c r="C185" s="8" t="s">
        <v>1</v>
      </c>
      <c r="D185" s="7">
        <v>61</v>
      </c>
      <c r="E185" s="6">
        <v>89.428571428571431</v>
      </c>
      <c r="F185" s="6">
        <f>D185*0.4+E185*0.6</f>
        <v>78.057142857142864</v>
      </c>
      <c r="G185" s="5"/>
    </row>
    <row r="186" spans="1:7" ht="21" customHeight="1">
      <c r="A186" s="8" t="str">
        <f>"陈晓军"</f>
        <v>陈晓军</v>
      </c>
      <c r="B186" s="8">
        <v>20192310</v>
      </c>
      <c r="C186" s="8" t="s">
        <v>1</v>
      </c>
      <c r="D186" s="7">
        <v>49.5</v>
      </c>
      <c r="E186" s="6">
        <v>79</v>
      </c>
      <c r="F186" s="6">
        <f>D186*0.4+E186*0.6</f>
        <v>67.2</v>
      </c>
      <c r="G186" s="5"/>
    </row>
    <row r="187" spans="1:7" ht="21" customHeight="1">
      <c r="A187" s="8" t="str">
        <f>"齐惠惠"</f>
        <v>齐惠惠</v>
      </c>
      <c r="B187" s="8">
        <v>20192313</v>
      </c>
      <c r="C187" s="8" t="s">
        <v>0</v>
      </c>
      <c r="D187" s="7">
        <v>83</v>
      </c>
      <c r="E187" s="6">
        <v>90</v>
      </c>
      <c r="F187" s="6">
        <f>D187*0.4+E187*0.6</f>
        <v>87.2</v>
      </c>
      <c r="G187" s="8"/>
    </row>
    <row r="188" spans="1:7" ht="21" customHeight="1">
      <c r="A188" s="8" t="str">
        <f>"王玮"</f>
        <v>王玮</v>
      </c>
      <c r="B188" s="8">
        <v>20192329</v>
      </c>
      <c r="C188" s="8" t="s">
        <v>0</v>
      </c>
      <c r="D188" s="7">
        <v>79.5</v>
      </c>
      <c r="E188" s="6">
        <v>89.285714285714292</v>
      </c>
      <c r="F188" s="6">
        <f>D188*0.4+E188*0.6</f>
        <v>85.371428571428581</v>
      </c>
      <c r="G188" s="8"/>
    </row>
    <row r="189" spans="1:7" ht="21" customHeight="1">
      <c r="A189" s="8" t="str">
        <f>"庞英杰"</f>
        <v>庞英杰</v>
      </c>
      <c r="B189" s="8">
        <v>20192314</v>
      </c>
      <c r="C189" s="8" t="s">
        <v>0</v>
      </c>
      <c r="D189" s="7">
        <v>80.5</v>
      </c>
      <c r="E189" s="6">
        <v>84.857142857142861</v>
      </c>
      <c r="F189" s="6">
        <f>D189*0.4+E189*0.6</f>
        <v>83.114285714285728</v>
      </c>
      <c r="G189" s="8"/>
    </row>
    <row r="190" spans="1:7" ht="21" customHeight="1">
      <c r="A190" s="8" t="str">
        <f>"吴航"</f>
        <v>吴航</v>
      </c>
      <c r="B190" s="8">
        <v>20192326</v>
      </c>
      <c r="C190" s="8" t="s">
        <v>0</v>
      </c>
      <c r="D190" s="7">
        <v>83</v>
      </c>
      <c r="E190" s="6">
        <v>81.285714285714292</v>
      </c>
      <c r="F190" s="6">
        <f>D190*0.4+E190*0.6</f>
        <v>81.971428571428575</v>
      </c>
      <c r="G190" s="5"/>
    </row>
    <row r="191" spans="1:7" ht="21" customHeight="1">
      <c r="A191" s="8" t="str">
        <f>"刘宇"</f>
        <v>刘宇</v>
      </c>
      <c r="B191" s="8">
        <v>20192409</v>
      </c>
      <c r="C191" s="8" t="s">
        <v>0</v>
      </c>
      <c r="D191" s="7">
        <v>79</v>
      </c>
      <c r="E191" s="6">
        <v>83.285714285714292</v>
      </c>
      <c r="F191" s="6">
        <f>D191*0.4+E191*0.6</f>
        <v>81.571428571428584</v>
      </c>
      <c r="G191" s="5"/>
    </row>
    <row r="192" spans="1:7" ht="21" customHeight="1">
      <c r="A192" s="8" t="str">
        <f>"孙强"</f>
        <v>孙强</v>
      </c>
      <c r="B192" s="8">
        <v>20192406</v>
      </c>
      <c r="C192" s="8" t="s">
        <v>0</v>
      </c>
      <c r="D192" s="7">
        <v>80</v>
      </c>
      <c r="E192" s="6">
        <v>82</v>
      </c>
      <c r="F192" s="6">
        <f>D192*0.4+E192*0.6</f>
        <v>81.199999999999989</v>
      </c>
      <c r="G192" s="5"/>
    </row>
  </sheetData>
  <autoFilter ref="A3:G192">
    <sortState ref="A2:R190">
      <sortCondition ref="C2:C190"/>
    </sortState>
  </autoFilter>
  <mergeCells count="1">
    <mergeCell ref="A2:G2"/>
  </mergeCells>
  <phoneticPr fontId="1" type="noConversion"/>
  <printOptions horizontalCentered="1"/>
  <pageMargins left="0.70866141732283472" right="0.70866141732283472" top="0.19685039370078741" bottom="0.31496062992125984" header="0.15748031496062992" footer="0.1574803149606299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教育 (总成绩)</vt:lpstr>
      <vt:lpstr>'教育 (总成绩)'!Print_Area</vt:lpstr>
      <vt:lpstr>'教育 (总成绩)'!Print_Titles</vt:lpstr>
    </vt:vector>
  </TitlesOfParts>
  <Company>Far123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2019-08-05T01:36:43Z</cp:lastPrinted>
  <dcterms:created xsi:type="dcterms:W3CDTF">2019-08-05T01:15:18Z</dcterms:created>
  <dcterms:modified xsi:type="dcterms:W3CDTF">2019-08-05T01:37:21Z</dcterms:modified>
</cp:coreProperties>
</file>