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505"/>
  </bookViews>
  <sheets>
    <sheet name="体育岗位面试名单" sheetId="4" r:id="rId1"/>
  </sheets>
  <definedNames>
    <definedName name="Titles">#REF!</definedName>
  </definedNames>
  <calcPr calcId="144525"/>
</workbook>
</file>

<file path=xl/sharedStrings.xml><?xml version="1.0" encoding="utf-8"?>
<sst xmlns="http://schemas.openxmlformats.org/spreadsheetml/2006/main" count="61">
  <si>
    <t>冷水江市2019年公开招聘音、体、美、实习指导教师面试成绩</t>
  </si>
  <si>
    <t>音乐岗位</t>
  </si>
  <si>
    <t>序号</t>
  </si>
  <si>
    <t>姓 名</t>
  </si>
  <si>
    <t>性别</t>
  </si>
  <si>
    <t>报考职位名称</t>
  </si>
  <si>
    <t>说课 成绩</t>
  </si>
  <si>
    <r>
      <rPr>
        <b/>
        <sz val="12"/>
        <color rgb="FF000000"/>
        <rFont val="仿宋_GB2312"/>
        <charset val="134"/>
      </rPr>
      <t>说课成绩占40</t>
    </r>
    <r>
      <rPr>
        <b/>
        <sz val="12"/>
        <color rgb="FF000000"/>
        <rFont val="SimSun"/>
        <charset val="134"/>
      </rPr>
      <t>％</t>
    </r>
  </si>
  <si>
    <t>专项技能测试成绩</t>
  </si>
  <si>
    <t>面试总  成绩</t>
  </si>
  <si>
    <t>排名</t>
  </si>
  <si>
    <t>备注</t>
  </si>
  <si>
    <t>唱歌</t>
  </si>
  <si>
    <r>
      <rPr>
        <b/>
        <sz val="12"/>
        <color rgb="FF000000"/>
        <rFont val="仿宋_GB2312"/>
        <charset val="134"/>
      </rPr>
      <t>唱歌占30</t>
    </r>
    <r>
      <rPr>
        <b/>
        <sz val="12"/>
        <color rgb="FF000000"/>
        <rFont val="SimSun"/>
        <charset val="134"/>
      </rPr>
      <t>％</t>
    </r>
  </si>
  <si>
    <t>跳舞</t>
  </si>
  <si>
    <r>
      <rPr>
        <b/>
        <sz val="12"/>
        <color rgb="FF000000"/>
        <rFont val="仿宋_GB2312"/>
        <charset val="134"/>
      </rPr>
      <t>跳舞占30</t>
    </r>
    <r>
      <rPr>
        <b/>
        <sz val="12"/>
        <color rgb="FF000000"/>
        <rFont val="SimSun"/>
        <charset val="134"/>
      </rPr>
      <t>％</t>
    </r>
  </si>
  <si>
    <t>小学音乐</t>
  </si>
  <si>
    <t>面试总 成绩</t>
  </si>
  <si>
    <t>缺考</t>
  </si>
  <si>
    <t>一中高中音乐</t>
  </si>
  <si>
    <t>违规</t>
  </si>
  <si>
    <t>初中音乐</t>
  </si>
  <si>
    <t>工业学校音乐</t>
  </si>
  <si>
    <t>体育岗位</t>
  </si>
  <si>
    <t>报考职位  名称</t>
  </si>
  <si>
    <t>说课成绩</t>
  </si>
  <si>
    <t>篮球</t>
  </si>
  <si>
    <t>篮球占60％</t>
  </si>
  <si>
    <t>张晓峰</t>
  </si>
  <si>
    <t>男</t>
  </si>
  <si>
    <t>小学体育</t>
  </si>
  <si>
    <t>谢鹏</t>
  </si>
  <si>
    <t>432502199709157615</t>
  </si>
  <si>
    <t>袁晨飞</t>
  </si>
  <si>
    <t>朱振东</t>
  </si>
  <si>
    <t>430522199502273890</t>
  </si>
  <si>
    <t>龚凤杰</t>
  </si>
  <si>
    <t>女</t>
  </si>
  <si>
    <t>徐影</t>
  </si>
  <si>
    <t>余潇</t>
  </si>
  <si>
    <t>吴亦波</t>
  </si>
  <si>
    <t>彭皓轩</t>
  </si>
  <si>
    <t>龙亚男</t>
  </si>
  <si>
    <t>苏臻</t>
  </si>
  <si>
    <t>曾雯雯</t>
  </si>
  <si>
    <t>曾泽林</t>
  </si>
  <si>
    <t>六中体育</t>
  </si>
  <si>
    <t>初中体育</t>
  </si>
  <si>
    <t>技校体育</t>
  </si>
  <si>
    <t>工业学校体育</t>
  </si>
  <si>
    <t>美术岗位</t>
  </si>
  <si>
    <t>静物素描</t>
  </si>
  <si>
    <t>静物素描占 60％</t>
  </si>
  <si>
    <t>小学美术</t>
  </si>
  <si>
    <t>段睿</t>
  </si>
  <si>
    <t>实习指导岗位</t>
  </si>
  <si>
    <t>说课成绩占40％</t>
  </si>
  <si>
    <t>实际操作</t>
  </si>
  <si>
    <t>实际操作占60％</t>
  </si>
  <si>
    <t>数控实习指导教师</t>
  </si>
  <si>
    <t>汽修实习指导教师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</si>
</sst>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4">
    <font>
      <sz val="11"/>
      <color rgb="FF000000"/>
      <name val="Calibri"/>
      <charset val="134"/>
    </font>
    <font>
      <sz val="14"/>
      <color rgb="FF000000"/>
      <name val="Calibri"/>
      <charset val="134"/>
    </font>
    <font>
      <sz val="26"/>
      <color rgb="FF000000"/>
      <name val="方正小标宋简体"/>
      <charset val="134"/>
    </font>
    <font>
      <sz val="18"/>
      <color rgb="FF000000"/>
      <name val="黑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2"/>
      <color rgb="FF000000"/>
      <name val="宋体"/>
      <charset val="134"/>
    </font>
    <font>
      <sz val="14"/>
      <name val="仿宋_GB2312"/>
      <charset val="134"/>
    </font>
    <font>
      <b/>
      <sz val="11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2"/>
      <color rgb="FF000000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rgb="FF00FFFF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NumberFormat="0" applyBorder="0" applyAlignment="0"/>
    <xf numFmtId="42" fontId="17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8" fillId="19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6" borderId="11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30" fillId="24" borderId="10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34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76" fontId="0" fillId="0" borderId="0" xfId="0" applyNumberFormat="1" applyFill="1" applyAlignment="1" applyProtection="1">
      <alignment vertical="center"/>
    </xf>
    <xf numFmtId="176" fontId="0" fillId="0" borderId="0" xfId="0" applyNumberForma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176" fontId="2" fillId="0" borderId="0" xfId="0" applyNumberFormat="1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 applyProtection="1">
      <alignment horizontal="center" vertical="center" wrapText="1"/>
    </xf>
    <xf numFmtId="176" fontId="8" fillId="0" borderId="3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176" fontId="4" fillId="2" borderId="1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3"/>
  <sheetViews>
    <sheetView tabSelected="1" zoomScale="85" zoomScaleNormal="85" topLeftCell="A109" workbookViewId="0">
      <selection activeCell="E258" sqref="E258:E259"/>
    </sheetView>
  </sheetViews>
  <sheetFormatPr defaultColWidth="9.14285714285714" defaultRowHeight="18.75"/>
  <cols>
    <col min="1" max="1" width="4.2" style="1" customWidth="1"/>
    <col min="2" max="2" width="11.5904761904762" style="1" customWidth="1"/>
    <col min="3" max="3" width="5.03809523809524" style="1" customWidth="1"/>
    <col min="4" max="4" width="15.2952380952381" style="2" customWidth="1"/>
    <col min="5" max="5" width="8.28571428571429" style="3" customWidth="1"/>
    <col min="6" max="6" width="9.71428571428571" style="3" customWidth="1"/>
    <col min="7" max="7" width="8.14285714285714" style="4" customWidth="1"/>
    <col min="8" max="8" width="8.42857142857143" style="4" customWidth="1"/>
    <col min="9" max="9" width="8.14285714285714" style="4" customWidth="1"/>
    <col min="10" max="10" width="8.57142857142857" style="4" customWidth="1"/>
    <col min="11" max="11" width="9.57142857142857" style="4" customWidth="1"/>
    <col min="12" max="12" width="10.4190476190476" style="4" customWidth="1"/>
    <col min="13" max="13" width="23.5238095238095" style="4" customWidth="1"/>
    <col min="14" max="16380" width="9.14285714285714" style="1"/>
  </cols>
  <sheetData>
    <row r="1" ht="26.1" customHeight="1" spans="1:13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</row>
    <row r="2" ht="33" customHeight="1" spans="1:13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</row>
    <row r="3" ht="33" customHeight="1" spans="1:13">
      <c r="A3" s="7" t="s">
        <v>1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</row>
    <row r="4" ht="30" customHeight="1" spans="1:1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0"/>
      <c r="I4" s="10"/>
      <c r="J4" s="10"/>
      <c r="K4" s="10" t="s">
        <v>9</v>
      </c>
      <c r="L4" s="9" t="s">
        <v>10</v>
      </c>
      <c r="M4" s="10" t="s">
        <v>11</v>
      </c>
    </row>
    <row r="5" ht="30" customHeight="1" spans="1:13">
      <c r="A5" s="9"/>
      <c r="B5" s="9"/>
      <c r="C5" s="9"/>
      <c r="D5" s="9"/>
      <c r="E5" s="9"/>
      <c r="F5" s="10"/>
      <c r="G5" s="10" t="s">
        <v>12</v>
      </c>
      <c r="H5" s="10" t="s">
        <v>13</v>
      </c>
      <c r="I5" s="10" t="s">
        <v>14</v>
      </c>
      <c r="J5" s="10" t="s">
        <v>15</v>
      </c>
      <c r="K5" s="10"/>
      <c r="L5" s="9"/>
      <c r="M5" s="10"/>
    </row>
    <row r="6" ht="28" customHeight="1" spans="1:13">
      <c r="A6" s="11">
        <v>1</v>
      </c>
      <c r="B6" s="12" t="str">
        <f>"刘婷"</f>
        <v>刘婷</v>
      </c>
      <c r="C6" s="12" t="str">
        <f t="shared" ref="C6:C18" si="0">"女"</f>
        <v>女</v>
      </c>
      <c r="D6" s="13" t="s">
        <v>16</v>
      </c>
      <c r="E6" s="14">
        <v>83</v>
      </c>
      <c r="F6" s="14">
        <f t="shared" ref="F6:F18" si="1">E6*0.4</f>
        <v>33.2</v>
      </c>
      <c r="G6" s="14">
        <v>92</v>
      </c>
      <c r="H6" s="14">
        <f t="shared" ref="H6:H18" si="2">G6*0.3</f>
        <v>27.6</v>
      </c>
      <c r="I6" s="14">
        <v>87</v>
      </c>
      <c r="J6" s="14">
        <f t="shared" ref="J6:J18" si="3">I6*0.3</f>
        <v>26.1</v>
      </c>
      <c r="K6" s="14">
        <f t="shared" ref="K6:K18" si="4">F6+H6+J6</f>
        <v>86.9</v>
      </c>
      <c r="L6" s="21">
        <v>1</v>
      </c>
      <c r="M6" s="14"/>
    </row>
    <row r="7" ht="28" customHeight="1" spans="1:13">
      <c r="A7" s="15">
        <v>2</v>
      </c>
      <c r="B7" s="16" t="str">
        <f>"曾秋怡"</f>
        <v>曾秋怡</v>
      </c>
      <c r="C7" s="16" t="str">
        <f t="shared" si="0"/>
        <v>女</v>
      </c>
      <c r="D7" s="17" t="s">
        <v>16</v>
      </c>
      <c r="E7" s="18">
        <v>86</v>
      </c>
      <c r="F7" s="18">
        <f t="shared" si="1"/>
        <v>34.4</v>
      </c>
      <c r="G7" s="19">
        <v>88</v>
      </c>
      <c r="H7" s="19">
        <f t="shared" si="2"/>
        <v>26.4</v>
      </c>
      <c r="I7" s="19">
        <v>85.2</v>
      </c>
      <c r="J7" s="19">
        <f t="shared" si="3"/>
        <v>25.56</v>
      </c>
      <c r="K7" s="19">
        <f t="shared" si="4"/>
        <v>86.36</v>
      </c>
      <c r="L7" s="20">
        <v>2</v>
      </c>
      <c r="M7" s="19"/>
    </row>
    <row r="8" ht="28" customHeight="1" spans="1:13">
      <c r="A8" s="15">
        <v>3</v>
      </c>
      <c r="B8" s="16" t="str">
        <f>"孙思慧"</f>
        <v>孙思慧</v>
      </c>
      <c r="C8" s="16" t="str">
        <f t="shared" si="0"/>
        <v>女</v>
      </c>
      <c r="D8" s="17" t="s">
        <v>16</v>
      </c>
      <c r="E8" s="19">
        <v>84.94</v>
      </c>
      <c r="F8" s="19">
        <f t="shared" si="1"/>
        <v>33.976</v>
      </c>
      <c r="G8" s="19">
        <v>83.8</v>
      </c>
      <c r="H8" s="19">
        <f t="shared" si="2"/>
        <v>25.14</v>
      </c>
      <c r="I8" s="19">
        <v>85.2</v>
      </c>
      <c r="J8" s="19">
        <f t="shared" si="3"/>
        <v>25.56</v>
      </c>
      <c r="K8" s="19">
        <f t="shared" si="4"/>
        <v>84.676</v>
      </c>
      <c r="L8" s="20">
        <v>3</v>
      </c>
      <c r="M8" s="19"/>
    </row>
    <row r="9" ht="28" customHeight="1" spans="1:13">
      <c r="A9" s="15">
        <v>4</v>
      </c>
      <c r="B9" s="16" t="str">
        <f>"伍良梁"</f>
        <v>伍良梁</v>
      </c>
      <c r="C9" s="16" t="str">
        <f t="shared" si="0"/>
        <v>女</v>
      </c>
      <c r="D9" s="17" t="s">
        <v>16</v>
      </c>
      <c r="E9" s="18">
        <v>82.8</v>
      </c>
      <c r="F9" s="18">
        <f t="shared" si="1"/>
        <v>33.12</v>
      </c>
      <c r="G9" s="19">
        <v>91.4</v>
      </c>
      <c r="H9" s="19">
        <f t="shared" si="2"/>
        <v>27.42</v>
      </c>
      <c r="I9" s="19">
        <v>78.8</v>
      </c>
      <c r="J9" s="19">
        <f t="shared" si="3"/>
        <v>23.64</v>
      </c>
      <c r="K9" s="19">
        <f t="shared" si="4"/>
        <v>84.18</v>
      </c>
      <c r="L9" s="20">
        <v>4</v>
      </c>
      <c r="M9" s="19"/>
    </row>
    <row r="10" ht="28" customHeight="1" spans="1:13">
      <c r="A10" s="15">
        <v>5</v>
      </c>
      <c r="B10" s="16" t="str">
        <f>"曾艳"</f>
        <v>曾艳</v>
      </c>
      <c r="C10" s="16" t="str">
        <f t="shared" si="0"/>
        <v>女</v>
      </c>
      <c r="D10" s="17" t="s">
        <v>16</v>
      </c>
      <c r="E10" s="19">
        <v>81.4</v>
      </c>
      <c r="F10" s="19">
        <f t="shared" si="1"/>
        <v>32.56</v>
      </c>
      <c r="G10" s="19">
        <v>80.2</v>
      </c>
      <c r="H10" s="19">
        <f t="shared" si="2"/>
        <v>24.06</v>
      </c>
      <c r="I10" s="19">
        <v>90.4</v>
      </c>
      <c r="J10" s="19">
        <f t="shared" si="3"/>
        <v>27.12</v>
      </c>
      <c r="K10" s="19">
        <f t="shared" si="4"/>
        <v>83.74</v>
      </c>
      <c r="L10" s="20">
        <v>5</v>
      </c>
      <c r="M10" s="19"/>
    </row>
    <row r="11" ht="28" customHeight="1" spans="1:13">
      <c r="A11" s="15">
        <v>6</v>
      </c>
      <c r="B11" s="16" t="str">
        <f>"谢璐"</f>
        <v>谢璐</v>
      </c>
      <c r="C11" s="16" t="str">
        <f t="shared" si="0"/>
        <v>女</v>
      </c>
      <c r="D11" s="17" t="s">
        <v>16</v>
      </c>
      <c r="E11" s="18">
        <v>83.54</v>
      </c>
      <c r="F11" s="18">
        <f t="shared" si="1"/>
        <v>33.416</v>
      </c>
      <c r="G11" s="19">
        <v>83.4</v>
      </c>
      <c r="H11" s="19">
        <f t="shared" si="2"/>
        <v>25.02</v>
      </c>
      <c r="I11" s="19">
        <v>84</v>
      </c>
      <c r="J11" s="19">
        <f t="shared" si="3"/>
        <v>25.2</v>
      </c>
      <c r="K11" s="19">
        <f t="shared" si="4"/>
        <v>83.636</v>
      </c>
      <c r="L11" s="20">
        <v>6</v>
      </c>
      <c r="M11" s="19"/>
    </row>
    <row r="12" ht="28" customHeight="1" spans="1:13">
      <c r="A12" s="15">
        <v>7</v>
      </c>
      <c r="B12" s="16" t="str">
        <f>"李娟"</f>
        <v>李娟</v>
      </c>
      <c r="C12" s="16" t="str">
        <f t="shared" si="0"/>
        <v>女</v>
      </c>
      <c r="D12" s="17" t="s">
        <v>16</v>
      </c>
      <c r="E12" s="18">
        <v>79.6</v>
      </c>
      <c r="F12" s="18">
        <f t="shared" si="1"/>
        <v>31.84</v>
      </c>
      <c r="G12" s="19">
        <v>87.6</v>
      </c>
      <c r="H12" s="19">
        <f t="shared" si="2"/>
        <v>26.28</v>
      </c>
      <c r="I12" s="19">
        <v>84.2</v>
      </c>
      <c r="J12" s="19">
        <f t="shared" si="3"/>
        <v>25.26</v>
      </c>
      <c r="K12" s="19">
        <f t="shared" si="4"/>
        <v>83.38</v>
      </c>
      <c r="L12" s="20">
        <v>7</v>
      </c>
      <c r="M12" s="19"/>
    </row>
    <row r="13" ht="28" customHeight="1" spans="1:13">
      <c r="A13" s="15">
        <v>8</v>
      </c>
      <c r="B13" s="16" t="str">
        <f>"李慧"</f>
        <v>李慧</v>
      </c>
      <c r="C13" s="16" t="str">
        <f t="shared" si="0"/>
        <v>女</v>
      </c>
      <c r="D13" s="17" t="s">
        <v>16</v>
      </c>
      <c r="E13" s="19">
        <v>81.16</v>
      </c>
      <c r="F13" s="19">
        <f t="shared" si="1"/>
        <v>32.464</v>
      </c>
      <c r="G13" s="19">
        <v>84.2</v>
      </c>
      <c r="H13" s="19">
        <f t="shared" si="2"/>
        <v>25.26</v>
      </c>
      <c r="I13" s="19">
        <v>82.6</v>
      </c>
      <c r="J13" s="19">
        <f t="shared" si="3"/>
        <v>24.78</v>
      </c>
      <c r="K13" s="19">
        <f t="shared" si="4"/>
        <v>82.504</v>
      </c>
      <c r="L13" s="20">
        <v>8</v>
      </c>
      <c r="M13" s="19"/>
    </row>
    <row r="14" ht="28" customHeight="1" spans="1:13">
      <c r="A14" s="15">
        <v>9</v>
      </c>
      <c r="B14" s="16" t="str">
        <f>"喻薇霓"</f>
        <v>喻薇霓</v>
      </c>
      <c r="C14" s="16" t="str">
        <f t="shared" si="0"/>
        <v>女</v>
      </c>
      <c r="D14" s="17" t="s">
        <v>16</v>
      </c>
      <c r="E14" s="18">
        <v>81.7</v>
      </c>
      <c r="F14" s="18">
        <f t="shared" si="1"/>
        <v>32.68</v>
      </c>
      <c r="G14" s="19">
        <v>82</v>
      </c>
      <c r="H14" s="19">
        <f t="shared" si="2"/>
        <v>24.6</v>
      </c>
      <c r="I14" s="19">
        <v>83.4</v>
      </c>
      <c r="J14" s="19">
        <f t="shared" si="3"/>
        <v>25.02</v>
      </c>
      <c r="K14" s="19">
        <f t="shared" si="4"/>
        <v>82.3</v>
      </c>
      <c r="L14" s="20">
        <v>9</v>
      </c>
      <c r="M14" s="19"/>
    </row>
    <row r="15" ht="28" customHeight="1" spans="1:13">
      <c r="A15" s="15">
        <v>10</v>
      </c>
      <c r="B15" s="16" t="str">
        <f>"王灿辉"</f>
        <v>王灿辉</v>
      </c>
      <c r="C15" s="16" t="str">
        <f t="shared" si="0"/>
        <v>女</v>
      </c>
      <c r="D15" s="17" t="s">
        <v>16</v>
      </c>
      <c r="E15" s="18">
        <v>86.4</v>
      </c>
      <c r="F15" s="18">
        <f t="shared" si="1"/>
        <v>34.56</v>
      </c>
      <c r="G15" s="19">
        <v>82.6</v>
      </c>
      <c r="H15" s="19">
        <f t="shared" si="2"/>
        <v>24.78</v>
      </c>
      <c r="I15" s="19">
        <v>76.4</v>
      </c>
      <c r="J15" s="19">
        <f t="shared" si="3"/>
        <v>22.92</v>
      </c>
      <c r="K15" s="19">
        <f t="shared" si="4"/>
        <v>82.26</v>
      </c>
      <c r="L15" s="20">
        <v>10</v>
      </c>
      <c r="M15" s="19"/>
    </row>
    <row r="16" ht="28" customHeight="1" spans="1:13">
      <c r="A16" s="15">
        <v>11</v>
      </c>
      <c r="B16" s="16" t="str">
        <f>"杨理琼"</f>
        <v>杨理琼</v>
      </c>
      <c r="C16" s="16" t="str">
        <f t="shared" si="0"/>
        <v>女</v>
      </c>
      <c r="D16" s="17" t="s">
        <v>16</v>
      </c>
      <c r="E16" s="18">
        <v>81.94</v>
      </c>
      <c r="F16" s="18">
        <f t="shared" si="1"/>
        <v>32.776</v>
      </c>
      <c r="G16" s="19">
        <v>83.4</v>
      </c>
      <c r="H16" s="19">
        <f t="shared" si="2"/>
        <v>25.02</v>
      </c>
      <c r="I16" s="19">
        <v>80.6</v>
      </c>
      <c r="J16" s="19">
        <f t="shared" si="3"/>
        <v>24.18</v>
      </c>
      <c r="K16" s="19">
        <f t="shared" si="4"/>
        <v>81.976</v>
      </c>
      <c r="L16" s="20">
        <v>11</v>
      </c>
      <c r="M16" s="19"/>
    </row>
    <row r="17" ht="28" customHeight="1" spans="1:13">
      <c r="A17" s="15">
        <v>12</v>
      </c>
      <c r="B17" s="16" t="str">
        <f>"黄燕婕"</f>
        <v>黄燕婕</v>
      </c>
      <c r="C17" s="16" t="str">
        <f t="shared" si="0"/>
        <v>女</v>
      </c>
      <c r="D17" s="17" t="s">
        <v>16</v>
      </c>
      <c r="E17" s="18">
        <v>84.7</v>
      </c>
      <c r="F17" s="18">
        <f t="shared" si="1"/>
        <v>33.88</v>
      </c>
      <c r="G17" s="19">
        <v>78</v>
      </c>
      <c r="H17" s="19">
        <f t="shared" si="2"/>
        <v>23.4</v>
      </c>
      <c r="I17" s="19">
        <v>81</v>
      </c>
      <c r="J17" s="19">
        <f t="shared" si="3"/>
        <v>24.3</v>
      </c>
      <c r="K17" s="19">
        <f t="shared" si="4"/>
        <v>81.58</v>
      </c>
      <c r="L17" s="20">
        <v>12</v>
      </c>
      <c r="M17" s="19"/>
    </row>
    <row r="18" ht="28" customHeight="1" spans="1:13">
      <c r="A18" s="15">
        <v>13</v>
      </c>
      <c r="B18" s="16" t="str">
        <f>"肖霞"</f>
        <v>肖霞</v>
      </c>
      <c r="C18" s="16" t="str">
        <f t="shared" si="0"/>
        <v>女</v>
      </c>
      <c r="D18" s="17" t="s">
        <v>16</v>
      </c>
      <c r="E18" s="19">
        <v>84.96</v>
      </c>
      <c r="F18" s="19">
        <f t="shared" si="1"/>
        <v>33.984</v>
      </c>
      <c r="G18" s="19">
        <v>81</v>
      </c>
      <c r="H18" s="19">
        <f t="shared" si="2"/>
        <v>24.3</v>
      </c>
      <c r="I18" s="19">
        <v>77.6</v>
      </c>
      <c r="J18" s="19">
        <f t="shared" si="3"/>
        <v>23.28</v>
      </c>
      <c r="K18" s="19">
        <f t="shared" si="4"/>
        <v>81.564</v>
      </c>
      <c r="L18" s="20">
        <v>13</v>
      </c>
      <c r="M18" s="19"/>
    </row>
    <row r="19" ht="28" customHeight="1" spans="1:13">
      <c r="A19" s="9" t="s">
        <v>2</v>
      </c>
      <c r="B19" s="9" t="s">
        <v>3</v>
      </c>
      <c r="C19" s="9" t="s">
        <v>4</v>
      </c>
      <c r="D19" s="9" t="s">
        <v>5</v>
      </c>
      <c r="E19" s="9" t="s">
        <v>6</v>
      </c>
      <c r="F19" s="10" t="s">
        <v>7</v>
      </c>
      <c r="G19" s="10" t="s">
        <v>8</v>
      </c>
      <c r="H19" s="10"/>
      <c r="I19" s="10"/>
      <c r="J19" s="10"/>
      <c r="K19" s="10" t="s">
        <v>17</v>
      </c>
      <c r="L19" s="9" t="s">
        <v>10</v>
      </c>
      <c r="M19" s="10" t="s">
        <v>11</v>
      </c>
    </row>
    <row r="20" ht="28" customHeight="1" spans="1:13">
      <c r="A20" s="9"/>
      <c r="B20" s="9"/>
      <c r="C20" s="9"/>
      <c r="D20" s="9"/>
      <c r="E20" s="9"/>
      <c r="F20" s="10"/>
      <c r="G20" s="10" t="s">
        <v>12</v>
      </c>
      <c r="H20" s="10" t="s">
        <v>13</v>
      </c>
      <c r="I20" s="10" t="s">
        <v>14</v>
      </c>
      <c r="J20" s="10" t="s">
        <v>15</v>
      </c>
      <c r="K20" s="10"/>
      <c r="L20" s="9"/>
      <c r="M20" s="10"/>
    </row>
    <row r="21" ht="28" customHeight="1" spans="1:13">
      <c r="A21" s="15">
        <v>14</v>
      </c>
      <c r="B21" s="16" t="str">
        <f>"曾婕妤"</f>
        <v>曾婕妤</v>
      </c>
      <c r="C21" s="16" t="str">
        <f>"男"</f>
        <v>男</v>
      </c>
      <c r="D21" s="17" t="s">
        <v>16</v>
      </c>
      <c r="E21" s="18">
        <v>80</v>
      </c>
      <c r="F21" s="18">
        <f t="shared" ref="F21:F31" si="5">E21*0.4</f>
        <v>32</v>
      </c>
      <c r="G21" s="19">
        <v>84</v>
      </c>
      <c r="H21" s="19">
        <f t="shared" ref="H21:H31" si="6">G21*0.3</f>
        <v>25.2</v>
      </c>
      <c r="I21" s="19">
        <v>81.2</v>
      </c>
      <c r="J21" s="19">
        <f t="shared" ref="J21:J31" si="7">I21*0.3</f>
        <v>24.36</v>
      </c>
      <c r="K21" s="19">
        <f t="shared" ref="K21:K31" si="8">F21+H21+J21</f>
        <v>81.56</v>
      </c>
      <c r="L21" s="20">
        <v>14</v>
      </c>
      <c r="M21" s="19"/>
    </row>
    <row r="22" ht="28" customHeight="1" spans="1:13">
      <c r="A22" s="15">
        <v>15</v>
      </c>
      <c r="B22" s="16" t="str">
        <f>"施翔羽"</f>
        <v>施翔羽</v>
      </c>
      <c r="C22" s="16" t="str">
        <f t="shared" ref="C22:C31" si="9">"女"</f>
        <v>女</v>
      </c>
      <c r="D22" s="17" t="s">
        <v>16</v>
      </c>
      <c r="E22" s="18">
        <v>85.36</v>
      </c>
      <c r="F22" s="18">
        <f t="shared" si="5"/>
        <v>34.144</v>
      </c>
      <c r="G22" s="19">
        <v>77.2</v>
      </c>
      <c r="H22" s="19">
        <f t="shared" si="6"/>
        <v>23.16</v>
      </c>
      <c r="I22" s="19">
        <v>80.6</v>
      </c>
      <c r="J22" s="19">
        <f t="shared" si="7"/>
        <v>24.18</v>
      </c>
      <c r="K22" s="19">
        <f t="shared" si="8"/>
        <v>81.484</v>
      </c>
      <c r="L22" s="20">
        <v>15</v>
      </c>
      <c r="M22" s="19"/>
    </row>
    <row r="23" ht="28" customHeight="1" spans="1:13">
      <c r="A23" s="15">
        <v>16</v>
      </c>
      <c r="B23" s="16" t="str">
        <f>"潘成"</f>
        <v>潘成</v>
      </c>
      <c r="C23" s="16" t="str">
        <f t="shared" si="9"/>
        <v>女</v>
      </c>
      <c r="D23" s="17" t="s">
        <v>16</v>
      </c>
      <c r="E23" s="19">
        <v>83.46</v>
      </c>
      <c r="F23" s="19">
        <f t="shared" si="5"/>
        <v>33.384</v>
      </c>
      <c r="G23" s="19">
        <v>81</v>
      </c>
      <c r="H23" s="19">
        <f t="shared" si="6"/>
        <v>24.3</v>
      </c>
      <c r="I23" s="19">
        <v>77.6</v>
      </c>
      <c r="J23" s="19">
        <f t="shared" si="7"/>
        <v>23.28</v>
      </c>
      <c r="K23" s="19">
        <f t="shared" si="8"/>
        <v>80.964</v>
      </c>
      <c r="L23" s="20">
        <v>16</v>
      </c>
      <c r="M23" s="19"/>
    </row>
    <row r="24" ht="28" customHeight="1" spans="1:13">
      <c r="A24" s="15">
        <v>17</v>
      </c>
      <c r="B24" s="16" t="str">
        <f>"李进"</f>
        <v>李进</v>
      </c>
      <c r="C24" s="16" t="str">
        <f t="shared" si="9"/>
        <v>女</v>
      </c>
      <c r="D24" s="17" t="s">
        <v>16</v>
      </c>
      <c r="E24" s="18">
        <v>81.26</v>
      </c>
      <c r="F24" s="18">
        <f t="shared" si="5"/>
        <v>32.504</v>
      </c>
      <c r="G24" s="19">
        <v>80.6</v>
      </c>
      <c r="H24" s="19">
        <f t="shared" si="6"/>
        <v>24.18</v>
      </c>
      <c r="I24" s="19">
        <v>78.6</v>
      </c>
      <c r="J24" s="19">
        <f t="shared" si="7"/>
        <v>23.58</v>
      </c>
      <c r="K24" s="19">
        <f t="shared" si="8"/>
        <v>80.264</v>
      </c>
      <c r="L24" s="20">
        <v>17</v>
      </c>
      <c r="M24" s="19"/>
    </row>
    <row r="25" ht="28" customHeight="1" spans="1:13">
      <c r="A25" s="15">
        <v>18</v>
      </c>
      <c r="B25" s="16" t="str">
        <f>"伍婷婷"</f>
        <v>伍婷婷</v>
      </c>
      <c r="C25" s="16" t="str">
        <f t="shared" si="9"/>
        <v>女</v>
      </c>
      <c r="D25" s="17" t="s">
        <v>16</v>
      </c>
      <c r="E25" s="18">
        <v>81</v>
      </c>
      <c r="F25" s="18">
        <f t="shared" si="5"/>
        <v>32.4</v>
      </c>
      <c r="G25" s="19">
        <v>82.2</v>
      </c>
      <c r="H25" s="19">
        <f t="shared" si="6"/>
        <v>24.66</v>
      </c>
      <c r="I25" s="19">
        <v>77</v>
      </c>
      <c r="J25" s="19">
        <f t="shared" si="7"/>
        <v>23.1</v>
      </c>
      <c r="K25" s="19">
        <f t="shared" si="8"/>
        <v>80.16</v>
      </c>
      <c r="L25" s="20">
        <v>18</v>
      </c>
      <c r="M25" s="19"/>
    </row>
    <row r="26" ht="28" customHeight="1" spans="1:13">
      <c r="A26" s="15">
        <v>19</v>
      </c>
      <c r="B26" s="16" t="str">
        <f>"罗雯慧"</f>
        <v>罗雯慧</v>
      </c>
      <c r="C26" s="16" t="str">
        <f t="shared" si="9"/>
        <v>女</v>
      </c>
      <c r="D26" s="17" t="s">
        <v>16</v>
      </c>
      <c r="E26" s="18">
        <v>83.48</v>
      </c>
      <c r="F26" s="18">
        <f t="shared" si="5"/>
        <v>33.392</v>
      </c>
      <c r="G26" s="19">
        <v>81</v>
      </c>
      <c r="H26" s="19">
        <f t="shared" si="6"/>
        <v>24.3</v>
      </c>
      <c r="I26" s="19">
        <v>73.2</v>
      </c>
      <c r="J26" s="19">
        <f t="shared" si="7"/>
        <v>21.96</v>
      </c>
      <c r="K26" s="19">
        <f t="shared" si="8"/>
        <v>79.652</v>
      </c>
      <c r="L26" s="20">
        <v>19</v>
      </c>
      <c r="M26" s="19"/>
    </row>
    <row r="27" ht="28" customHeight="1" spans="1:13">
      <c r="A27" s="15">
        <v>20</v>
      </c>
      <c r="B27" s="16" t="str">
        <f>"周江月"</f>
        <v>周江月</v>
      </c>
      <c r="C27" s="16" t="str">
        <f t="shared" si="9"/>
        <v>女</v>
      </c>
      <c r="D27" s="17" t="s">
        <v>16</v>
      </c>
      <c r="E27" s="19">
        <v>78.26</v>
      </c>
      <c r="F27" s="19">
        <f t="shared" si="5"/>
        <v>31.304</v>
      </c>
      <c r="G27" s="19">
        <v>81.6</v>
      </c>
      <c r="H27" s="19">
        <f t="shared" si="6"/>
        <v>24.48</v>
      </c>
      <c r="I27" s="19">
        <v>75.8</v>
      </c>
      <c r="J27" s="19">
        <f t="shared" si="7"/>
        <v>22.74</v>
      </c>
      <c r="K27" s="19">
        <f t="shared" si="8"/>
        <v>78.524</v>
      </c>
      <c r="L27" s="20">
        <v>20</v>
      </c>
      <c r="M27" s="19"/>
    </row>
    <row r="28" ht="28" customHeight="1" spans="1:13">
      <c r="A28" s="15">
        <v>21</v>
      </c>
      <c r="B28" s="16" t="str">
        <f>"冯雅琪"</f>
        <v>冯雅琪</v>
      </c>
      <c r="C28" s="16" t="str">
        <f t="shared" si="9"/>
        <v>女</v>
      </c>
      <c r="D28" s="17" t="s">
        <v>16</v>
      </c>
      <c r="E28" s="18">
        <v>80.24</v>
      </c>
      <c r="F28" s="18">
        <f t="shared" si="5"/>
        <v>32.096</v>
      </c>
      <c r="G28" s="19">
        <v>77.6</v>
      </c>
      <c r="H28" s="19">
        <f t="shared" si="6"/>
        <v>23.28</v>
      </c>
      <c r="I28" s="19">
        <v>76.4</v>
      </c>
      <c r="J28" s="19">
        <f t="shared" si="7"/>
        <v>22.92</v>
      </c>
      <c r="K28" s="19">
        <f t="shared" si="8"/>
        <v>78.296</v>
      </c>
      <c r="L28" s="20">
        <v>21</v>
      </c>
      <c r="M28" s="19"/>
    </row>
    <row r="29" ht="28" customHeight="1" spans="1:13">
      <c r="A29" s="15">
        <v>22</v>
      </c>
      <c r="B29" s="16" t="str">
        <f>"胡慧"</f>
        <v>胡慧</v>
      </c>
      <c r="C29" s="16" t="str">
        <f t="shared" si="9"/>
        <v>女</v>
      </c>
      <c r="D29" s="17" t="s">
        <v>16</v>
      </c>
      <c r="E29" s="18">
        <v>77.7</v>
      </c>
      <c r="F29" s="18">
        <f t="shared" si="5"/>
        <v>31.08</v>
      </c>
      <c r="G29" s="19">
        <v>68.8</v>
      </c>
      <c r="H29" s="19">
        <f t="shared" si="6"/>
        <v>20.64</v>
      </c>
      <c r="I29" s="19">
        <v>83.4</v>
      </c>
      <c r="J29" s="19">
        <f t="shared" si="7"/>
        <v>25.02</v>
      </c>
      <c r="K29" s="19">
        <f t="shared" si="8"/>
        <v>76.74</v>
      </c>
      <c r="L29" s="20">
        <v>22</v>
      </c>
      <c r="M29" s="19"/>
    </row>
    <row r="30" ht="28" customHeight="1" spans="1:13">
      <c r="A30" s="15">
        <v>23</v>
      </c>
      <c r="B30" s="16" t="str">
        <f>"龚慧"</f>
        <v>龚慧</v>
      </c>
      <c r="C30" s="16" t="str">
        <f t="shared" si="9"/>
        <v>女</v>
      </c>
      <c r="D30" s="17" t="s">
        <v>16</v>
      </c>
      <c r="E30" s="18">
        <v>71.8</v>
      </c>
      <c r="F30" s="18">
        <f t="shared" si="5"/>
        <v>28.72</v>
      </c>
      <c r="G30" s="19">
        <v>77.6</v>
      </c>
      <c r="H30" s="19">
        <f t="shared" si="6"/>
        <v>23.28</v>
      </c>
      <c r="I30" s="19">
        <v>70.8</v>
      </c>
      <c r="J30" s="19">
        <f t="shared" si="7"/>
        <v>21.24</v>
      </c>
      <c r="K30" s="19">
        <f t="shared" si="8"/>
        <v>73.24</v>
      </c>
      <c r="L30" s="20">
        <v>23</v>
      </c>
      <c r="M30" s="19"/>
    </row>
    <row r="31" ht="28" customHeight="1" spans="1:13">
      <c r="A31" s="15">
        <v>24</v>
      </c>
      <c r="B31" s="16" t="str">
        <f>"李韶华"</f>
        <v>李韶华</v>
      </c>
      <c r="C31" s="16" t="str">
        <f t="shared" si="9"/>
        <v>女</v>
      </c>
      <c r="D31" s="17" t="s">
        <v>16</v>
      </c>
      <c r="E31" s="18">
        <v>75.46</v>
      </c>
      <c r="F31" s="18">
        <f t="shared" si="5"/>
        <v>30.184</v>
      </c>
      <c r="G31" s="19">
        <v>68.8</v>
      </c>
      <c r="H31" s="19">
        <f t="shared" si="6"/>
        <v>20.64</v>
      </c>
      <c r="I31" s="19">
        <v>64.6</v>
      </c>
      <c r="J31" s="19">
        <f t="shared" si="7"/>
        <v>19.38</v>
      </c>
      <c r="K31" s="19">
        <f t="shared" si="8"/>
        <v>70.204</v>
      </c>
      <c r="L31" s="20">
        <v>24</v>
      </c>
      <c r="M31" s="19"/>
    </row>
    <row r="32" ht="28" customHeight="1" spans="1:13">
      <c r="A32" s="15">
        <v>25</v>
      </c>
      <c r="B32" s="16" t="str">
        <f>"吴谭"</f>
        <v>吴谭</v>
      </c>
      <c r="C32" s="16" t="str">
        <f t="shared" ref="C28:C36" si="10">"女"</f>
        <v>女</v>
      </c>
      <c r="D32" s="17" t="s">
        <v>16</v>
      </c>
      <c r="E32" s="20" t="s">
        <v>18</v>
      </c>
      <c r="F32" s="20" t="s">
        <v>18</v>
      </c>
      <c r="G32" s="20" t="s">
        <v>18</v>
      </c>
      <c r="H32" s="20" t="s">
        <v>18</v>
      </c>
      <c r="I32" s="20" t="s">
        <v>18</v>
      </c>
      <c r="J32" s="20" t="s">
        <v>18</v>
      </c>
      <c r="K32" s="20" t="s">
        <v>18</v>
      </c>
      <c r="L32" s="22"/>
      <c r="M32" s="20"/>
    </row>
    <row r="33" ht="28" customHeight="1" spans="1:13">
      <c r="A33" s="15">
        <v>26</v>
      </c>
      <c r="B33" s="16" t="str">
        <f>"罗婷"</f>
        <v>罗婷</v>
      </c>
      <c r="C33" s="16" t="str">
        <f t="shared" si="10"/>
        <v>女</v>
      </c>
      <c r="D33" s="17" t="s">
        <v>16</v>
      </c>
      <c r="E33" s="20" t="s">
        <v>18</v>
      </c>
      <c r="F33" s="20" t="s">
        <v>18</v>
      </c>
      <c r="G33" s="20" t="s">
        <v>18</v>
      </c>
      <c r="H33" s="20" t="s">
        <v>18</v>
      </c>
      <c r="I33" s="20" t="s">
        <v>18</v>
      </c>
      <c r="J33" s="20" t="s">
        <v>18</v>
      </c>
      <c r="K33" s="20" t="s">
        <v>18</v>
      </c>
      <c r="L33" s="22"/>
      <c r="M33" s="20"/>
    </row>
    <row r="34" ht="28" customHeight="1" spans="1:13">
      <c r="A34" s="15">
        <v>27</v>
      </c>
      <c r="B34" s="16" t="str">
        <f>"赵梓钦"</f>
        <v>赵梓钦</v>
      </c>
      <c r="C34" s="16" t="str">
        <f t="shared" si="10"/>
        <v>女</v>
      </c>
      <c r="D34" s="17" t="s">
        <v>16</v>
      </c>
      <c r="E34" s="20" t="s">
        <v>18</v>
      </c>
      <c r="F34" s="20" t="s">
        <v>18</v>
      </c>
      <c r="G34" s="20" t="s">
        <v>18</v>
      </c>
      <c r="H34" s="20" t="s">
        <v>18</v>
      </c>
      <c r="I34" s="20" t="s">
        <v>18</v>
      </c>
      <c r="J34" s="20" t="s">
        <v>18</v>
      </c>
      <c r="K34" s="20" t="s">
        <v>18</v>
      </c>
      <c r="L34" s="22"/>
      <c r="M34" s="20"/>
    </row>
    <row r="35" ht="28" customHeight="1" spans="1:13">
      <c r="A35" s="15">
        <v>28</v>
      </c>
      <c r="B35" s="16" t="str">
        <f>"邱一丹"</f>
        <v>邱一丹</v>
      </c>
      <c r="C35" s="16" t="str">
        <f t="shared" si="10"/>
        <v>女</v>
      </c>
      <c r="D35" s="17" t="s">
        <v>16</v>
      </c>
      <c r="E35" s="20" t="s">
        <v>18</v>
      </c>
      <c r="F35" s="20" t="s">
        <v>18</v>
      </c>
      <c r="G35" s="20" t="s">
        <v>18</v>
      </c>
      <c r="H35" s="20" t="s">
        <v>18</v>
      </c>
      <c r="I35" s="20" t="s">
        <v>18</v>
      </c>
      <c r="J35" s="20" t="s">
        <v>18</v>
      </c>
      <c r="K35" s="20" t="s">
        <v>18</v>
      </c>
      <c r="L35" s="22"/>
      <c r="M35" s="20"/>
    </row>
    <row r="36" ht="28" customHeight="1" spans="1:13">
      <c r="A36" s="15">
        <v>29</v>
      </c>
      <c r="B36" s="16" t="str">
        <f>"伍仪"</f>
        <v>伍仪</v>
      </c>
      <c r="C36" s="16" t="str">
        <f t="shared" si="10"/>
        <v>女</v>
      </c>
      <c r="D36" s="17" t="s">
        <v>16</v>
      </c>
      <c r="E36" s="20" t="s">
        <v>18</v>
      </c>
      <c r="F36" s="20" t="s">
        <v>18</v>
      </c>
      <c r="G36" s="20" t="s">
        <v>18</v>
      </c>
      <c r="H36" s="20" t="s">
        <v>18</v>
      </c>
      <c r="I36" s="20" t="s">
        <v>18</v>
      </c>
      <c r="J36" s="20" t="s">
        <v>18</v>
      </c>
      <c r="K36" s="20" t="s">
        <v>18</v>
      </c>
      <c r="L36" s="22"/>
      <c r="M36" s="20"/>
    </row>
    <row r="37" ht="28" customHeight="1" spans="1:13">
      <c r="A37" s="9" t="s">
        <v>2</v>
      </c>
      <c r="B37" s="9" t="s">
        <v>3</v>
      </c>
      <c r="C37" s="9" t="s">
        <v>4</v>
      </c>
      <c r="D37" s="9" t="s">
        <v>5</v>
      </c>
      <c r="E37" s="9" t="s">
        <v>6</v>
      </c>
      <c r="F37" s="10" t="s">
        <v>7</v>
      </c>
      <c r="G37" s="10" t="s">
        <v>8</v>
      </c>
      <c r="H37" s="10"/>
      <c r="I37" s="10"/>
      <c r="J37" s="10"/>
      <c r="K37" s="10" t="s">
        <v>9</v>
      </c>
      <c r="L37" s="9" t="s">
        <v>10</v>
      </c>
      <c r="M37" s="10" t="s">
        <v>11</v>
      </c>
    </row>
    <row r="38" ht="30" customHeight="1" spans="1:13">
      <c r="A38" s="9"/>
      <c r="B38" s="9"/>
      <c r="C38" s="9"/>
      <c r="D38" s="9"/>
      <c r="E38" s="9"/>
      <c r="F38" s="10"/>
      <c r="G38" s="10" t="s">
        <v>12</v>
      </c>
      <c r="H38" s="10" t="s">
        <v>13</v>
      </c>
      <c r="I38" s="10" t="s">
        <v>14</v>
      </c>
      <c r="J38" s="10" t="s">
        <v>15</v>
      </c>
      <c r="K38" s="10"/>
      <c r="L38" s="9"/>
      <c r="M38" s="10"/>
    </row>
    <row r="39" ht="28" customHeight="1" spans="1:13">
      <c r="A39" s="15">
        <v>30</v>
      </c>
      <c r="B39" s="16" t="str">
        <f>"钟洁敏"</f>
        <v>钟洁敏</v>
      </c>
      <c r="C39" s="16" t="str">
        <f t="shared" ref="C39:C54" si="11">"女"</f>
        <v>女</v>
      </c>
      <c r="D39" s="17" t="s">
        <v>16</v>
      </c>
      <c r="E39" s="20" t="s">
        <v>18</v>
      </c>
      <c r="F39" s="20" t="s">
        <v>18</v>
      </c>
      <c r="G39" s="20" t="s">
        <v>18</v>
      </c>
      <c r="H39" s="20" t="s">
        <v>18</v>
      </c>
      <c r="I39" s="20" t="s">
        <v>18</v>
      </c>
      <c r="J39" s="20" t="s">
        <v>18</v>
      </c>
      <c r="K39" s="20" t="s">
        <v>18</v>
      </c>
      <c r="L39" s="22"/>
      <c r="M39" s="20"/>
    </row>
    <row r="40" ht="28" customHeight="1" spans="1:13">
      <c r="A40" s="15">
        <v>31</v>
      </c>
      <c r="B40" s="16" t="str">
        <f>"郑幸幸"</f>
        <v>郑幸幸</v>
      </c>
      <c r="C40" s="16" t="str">
        <f t="shared" si="11"/>
        <v>女</v>
      </c>
      <c r="D40" s="17" t="s">
        <v>16</v>
      </c>
      <c r="E40" s="20" t="s">
        <v>18</v>
      </c>
      <c r="F40" s="20" t="s">
        <v>18</v>
      </c>
      <c r="G40" s="20" t="s">
        <v>18</v>
      </c>
      <c r="H40" s="20" t="s">
        <v>18</v>
      </c>
      <c r="I40" s="20" t="s">
        <v>18</v>
      </c>
      <c r="J40" s="20" t="s">
        <v>18</v>
      </c>
      <c r="K40" s="20" t="s">
        <v>18</v>
      </c>
      <c r="L40" s="22"/>
      <c r="M40" s="20"/>
    </row>
    <row r="41" ht="28" customHeight="1" spans="1:13">
      <c r="A41" s="15">
        <v>32</v>
      </c>
      <c r="B41" s="16" t="str">
        <f>"舒倩媛"</f>
        <v>舒倩媛</v>
      </c>
      <c r="C41" s="16" t="str">
        <f t="shared" si="11"/>
        <v>女</v>
      </c>
      <c r="D41" s="17" t="s">
        <v>16</v>
      </c>
      <c r="E41" s="20" t="s">
        <v>18</v>
      </c>
      <c r="F41" s="20" t="s">
        <v>18</v>
      </c>
      <c r="G41" s="20" t="s">
        <v>18</v>
      </c>
      <c r="H41" s="20" t="s">
        <v>18</v>
      </c>
      <c r="I41" s="20" t="s">
        <v>18</v>
      </c>
      <c r="J41" s="20" t="s">
        <v>18</v>
      </c>
      <c r="K41" s="20" t="s">
        <v>18</v>
      </c>
      <c r="L41" s="22"/>
      <c r="M41" s="20"/>
    </row>
    <row r="42" ht="28" customHeight="1" spans="1:13">
      <c r="A42" s="15">
        <v>33</v>
      </c>
      <c r="B42" s="16" t="str">
        <f>"赵娴霜"</f>
        <v>赵娴霜</v>
      </c>
      <c r="C42" s="16" t="str">
        <f t="shared" si="11"/>
        <v>女</v>
      </c>
      <c r="D42" s="17" t="s">
        <v>16</v>
      </c>
      <c r="E42" s="20" t="s">
        <v>18</v>
      </c>
      <c r="F42" s="20" t="s">
        <v>18</v>
      </c>
      <c r="G42" s="20" t="s">
        <v>18</v>
      </c>
      <c r="H42" s="20" t="s">
        <v>18</v>
      </c>
      <c r="I42" s="20" t="s">
        <v>18</v>
      </c>
      <c r="J42" s="20" t="s">
        <v>18</v>
      </c>
      <c r="K42" s="20" t="s">
        <v>18</v>
      </c>
      <c r="L42" s="22"/>
      <c r="M42" s="20"/>
    </row>
    <row r="43" ht="28" customHeight="1" spans="1:13">
      <c r="A43" s="15">
        <v>34</v>
      </c>
      <c r="B43" s="16" t="str">
        <f>"欧文婕"</f>
        <v>欧文婕</v>
      </c>
      <c r="C43" s="16" t="str">
        <f t="shared" si="11"/>
        <v>女</v>
      </c>
      <c r="D43" s="17" t="s">
        <v>16</v>
      </c>
      <c r="E43" s="20" t="s">
        <v>18</v>
      </c>
      <c r="F43" s="20" t="s">
        <v>18</v>
      </c>
      <c r="G43" s="20" t="s">
        <v>18</v>
      </c>
      <c r="H43" s="20" t="s">
        <v>18</v>
      </c>
      <c r="I43" s="20" t="s">
        <v>18</v>
      </c>
      <c r="J43" s="20" t="s">
        <v>18</v>
      </c>
      <c r="K43" s="20" t="s">
        <v>18</v>
      </c>
      <c r="L43" s="22"/>
      <c r="M43" s="20"/>
    </row>
    <row r="44" ht="28" customHeight="1" spans="1:13">
      <c r="A44" s="15">
        <v>35</v>
      </c>
      <c r="B44" s="16" t="str">
        <f>"陈肖潇"</f>
        <v>陈肖潇</v>
      </c>
      <c r="C44" s="16" t="str">
        <f t="shared" si="11"/>
        <v>女</v>
      </c>
      <c r="D44" s="17" t="s">
        <v>16</v>
      </c>
      <c r="E44" s="20" t="s">
        <v>18</v>
      </c>
      <c r="F44" s="20" t="s">
        <v>18</v>
      </c>
      <c r="G44" s="20" t="s">
        <v>18</v>
      </c>
      <c r="H44" s="20" t="s">
        <v>18</v>
      </c>
      <c r="I44" s="20" t="s">
        <v>18</v>
      </c>
      <c r="J44" s="20" t="s">
        <v>18</v>
      </c>
      <c r="K44" s="20" t="s">
        <v>18</v>
      </c>
      <c r="L44" s="22"/>
      <c r="M44" s="20"/>
    </row>
    <row r="45" ht="28" customHeight="1" spans="1:13">
      <c r="A45" s="15">
        <v>36</v>
      </c>
      <c r="B45" s="16" t="str">
        <f>"毛思怡"</f>
        <v>毛思怡</v>
      </c>
      <c r="C45" s="16" t="str">
        <f t="shared" si="11"/>
        <v>女</v>
      </c>
      <c r="D45" s="17" t="s">
        <v>16</v>
      </c>
      <c r="E45" s="20" t="s">
        <v>18</v>
      </c>
      <c r="F45" s="20" t="s">
        <v>18</v>
      </c>
      <c r="G45" s="20" t="s">
        <v>18</v>
      </c>
      <c r="H45" s="20" t="s">
        <v>18</v>
      </c>
      <c r="I45" s="20" t="s">
        <v>18</v>
      </c>
      <c r="J45" s="20" t="s">
        <v>18</v>
      </c>
      <c r="K45" s="20" t="s">
        <v>18</v>
      </c>
      <c r="L45" s="22"/>
      <c r="M45" s="20"/>
    </row>
    <row r="46" ht="28" customHeight="1" spans="1:13">
      <c r="A46" s="15">
        <v>37</v>
      </c>
      <c r="B46" s="16" t="str">
        <f>"赵璐"</f>
        <v>赵璐</v>
      </c>
      <c r="C46" s="16" t="str">
        <f t="shared" si="11"/>
        <v>女</v>
      </c>
      <c r="D46" s="17" t="s">
        <v>16</v>
      </c>
      <c r="E46" s="20" t="s">
        <v>18</v>
      </c>
      <c r="F46" s="20" t="s">
        <v>18</v>
      </c>
      <c r="G46" s="20" t="s">
        <v>18</v>
      </c>
      <c r="H46" s="20" t="s">
        <v>18</v>
      </c>
      <c r="I46" s="20" t="s">
        <v>18</v>
      </c>
      <c r="J46" s="20" t="s">
        <v>18</v>
      </c>
      <c r="K46" s="20" t="s">
        <v>18</v>
      </c>
      <c r="L46" s="22"/>
      <c r="M46" s="20"/>
    </row>
    <row r="47" ht="28" customHeight="1" spans="1:13">
      <c r="A47" s="15">
        <v>38</v>
      </c>
      <c r="B47" s="16" t="str">
        <f>"孙丹丹"</f>
        <v>孙丹丹</v>
      </c>
      <c r="C47" s="16" t="str">
        <f t="shared" si="11"/>
        <v>女</v>
      </c>
      <c r="D47" s="17" t="s">
        <v>16</v>
      </c>
      <c r="E47" s="20" t="s">
        <v>18</v>
      </c>
      <c r="F47" s="20" t="s">
        <v>18</v>
      </c>
      <c r="G47" s="20" t="s">
        <v>18</v>
      </c>
      <c r="H47" s="20" t="s">
        <v>18</v>
      </c>
      <c r="I47" s="20" t="s">
        <v>18</v>
      </c>
      <c r="J47" s="20" t="s">
        <v>18</v>
      </c>
      <c r="K47" s="20" t="s">
        <v>18</v>
      </c>
      <c r="L47" s="22"/>
      <c r="M47" s="20"/>
    </row>
    <row r="48" ht="28" customHeight="1" spans="1:13">
      <c r="A48" s="15">
        <v>39</v>
      </c>
      <c r="B48" s="16" t="str">
        <f>"杨萍"</f>
        <v>杨萍</v>
      </c>
      <c r="C48" s="16" t="str">
        <f t="shared" si="11"/>
        <v>女</v>
      </c>
      <c r="D48" s="17" t="s">
        <v>16</v>
      </c>
      <c r="E48" s="20" t="s">
        <v>18</v>
      </c>
      <c r="F48" s="20" t="s">
        <v>18</v>
      </c>
      <c r="G48" s="20" t="s">
        <v>18</v>
      </c>
      <c r="H48" s="20" t="s">
        <v>18</v>
      </c>
      <c r="I48" s="20" t="s">
        <v>18</v>
      </c>
      <c r="J48" s="20" t="s">
        <v>18</v>
      </c>
      <c r="K48" s="20" t="s">
        <v>18</v>
      </c>
      <c r="L48" s="22"/>
      <c r="M48" s="20"/>
    </row>
    <row r="49" ht="28" customHeight="1" spans="1:13">
      <c r="A49" s="15">
        <v>40</v>
      </c>
      <c r="B49" s="16" t="str">
        <f>"康秀雅"</f>
        <v>康秀雅</v>
      </c>
      <c r="C49" s="16" t="str">
        <f t="shared" si="11"/>
        <v>女</v>
      </c>
      <c r="D49" s="17" t="s">
        <v>16</v>
      </c>
      <c r="E49" s="20" t="s">
        <v>18</v>
      </c>
      <c r="F49" s="20" t="s">
        <v>18</v>
      </c>
      <c r="G49" s="20" t="s">
        <v>18</v>
      </c>
      <c r="H49" s="20" t="s">
        <v>18</v>
      </c>
      <c r="I49" s="20" t="s">
        <v>18</v>
      </c>
      <c r="J49" s="20" t="s">
        <v>18</v>
      </c>
      <c r="K49" s="20" t="s">
        <v>18</v>
      </c>
      <c r="L49" s="22"/>
      <c r="M49" s="20"/>
    </row>
    <row r="50" ht="28" customHeight="1" spans="1:13">
      <c r="A50" s="15">
        <v>41</v>
      </c>
      <c r="B50" s="16" t="str">
        <f>"罗媛"</f>
        <v>罗媛</v>
      </c>
      <c r="C50" s="16" t="str">
        <f t="shared" si="11"/>
        <v>女</v>
      </c>
      <c r="D50" s="17" t="s">
        <v>16</v>
      </c>
      <c r="E50" s="20" t="s">
        <v>18</v>
      </c>
      <c r="F50" s="20" t="s">
        <v>18</v>
      </c>
      <c r="G50" s="20" t="s">
        <v>18</v>
      </c>
      <c r="H50" s="20" t="s">
        <v>18</v>
      </c>
      <c r="I50" s="20" t="s">
        <v>18</v>
      </c>
      <c r="J50" s="20" t="s">
        <v>18</v>
      </c>
      <c r="K50" s="20" t="s">
        <v>18</v>
      </c>
      <c r="L50" s="22"/>
      <c r="M50" s="20"/>
    </row>
    <row r="51" ht="28" customHeight="1" spans="1:13">
      <c r="A51" s="15">
        <v>42</v>
      </c>
      <c r="B51" s="16" t="str">
        <f>"王骄阳"</f>
        <v>王骄阳</v>
      </c>
      <c r="C51" s="16" t="str">
        <f t="shared" si="11"/>
        <v>女</v>
      </c>
      <c r="D51" s="17" t="s">
        <v>16</v>
      </c>
      <c r="E51" s="20" t="s">
        <v>18</v>
      </c>
      <c r="F51" s="20" t="s">
        <v>18</v>
      </c>
      <c r="G51" s="20" t="s">
        <v>18</v>
      </c>
      <c r="H51" s="20" t="s">
        <v>18</v>
      </c>
      <c r="I51" s="20" t="s">
        <v>18</v>
      </c>
      <c r="J51" s="20" t="s">
        <v>18</v>
      </c>
      <c r="K51" s="20" t="s">
        <v>18</v>
      </c>
      <c r="L51" s="22"/>
      <c r="M51" s="20"/>
    </row>
    <row r="52" ht="28" customHeight="1" spans="1:13">
      <c r="A52" s="15">
        <v>43</v>
      </c>
      <c r="B52" s="16" t="str">
        <f>"游小梅"</f>
        <v>游小梅</v>
      </c>
      <c r="C52" s="16" t="str">
        <f t="shared" si="11"/>
        <v>女</v>
      </c>
      <c r="D52" s="17" t="s">
        <v>16</v>
      </c>
      <c r="E52" s="20" t="s">
        <v>18</v>
      </c>
      <c r="F52" s="20" t="s">
        <v>18</v>
      </c>
      <c r="G52" s="20" t="s">
        <v>18</v>
      </c>
      <c r="H52" s="20" t="s">
        <v>18</v>
      </c>
      <c r="I52" s="20" t="s">
        <v>18</v>
      </c>
      <c r="J52" s="20" t="s">
        <v>18</v>
      </c>
      <c r="K52" s="20" t="s">
        <v>18</v>
      </c>
      <c r="L52" s="22"/>
      <c r="M52" s="20"/>
    </row>
    <row r="53" ht="28" customHeight="1" spans="1:13">
      <c r="A53" s="15">
        <v>44</v>
      </c>
      <c r="B53" s="16" t="str">
        <f>"高丽"</f>
        <v>高丽</v>
      </c>
      <c r="C53" s="16" t="str">
        <f t="shared" si="11"/>
        <v>女</v>
      </c>
      <c r="D53" s="17" t="s">
        <v>16</v>
      </c>
      <c r="E53" s="20" t="s">
        <v>18</v>
      </c>
      <c r="F53" s="20" t="s">
        <v>18</v>
      </c>
      <c r="G53" s="20" t="s">
        <v>18</v>
      </c>
      <c r="H53" s="20" t="s">
        <v>18</v>
      </c>
      <c r="I53" s="20" t="s">
        <v>18</v>
      </c>
      <c r="J53" s="20" t="s">
        <v>18</v>
      </c>
      <c r="K53" s="20" t="s">
        <v>18</v>
      </c>
      <c r="L53" s="22"/>
      <c r="M53" s="20"/>
    </row>
    <row r="54" ht="28" customHeight="1" spans="1:13">
      <c r="A54" s="15">
        <v>45</v>
      </c>
      <c r="B54" s="16" t="str">
        <f>"刘佳鑫"</f>
        <v>刘佳鑫</v>
      </c>
      <c r="C54" s="16" t="str">
        <f t="shared" si="11"/>
        <v>女</v>
      </c>
      <c r="D54" s="17" t="s">
        <v>16</v>
      </c>
      <c r="E54" s="20" t="s">
        <v>18</v>
      </c>
      <c r="F54" s="20" t="s">
        <v>18</v>
      </c>
      <c r="G54" s="20" t="s">
        <v>18</v>
      </c>
      <c r="H54" s="20" t="s">
        <v>18</v>
      </c>
      <c r="I54" s="20" t="s">
        <v>18</v>
      </c>
      <c r="J54" s="20" t="s">
        <v>18</v>
      </c>
      <c r="K54" s="20" t="s">
        <v>18</v>
      </c>
      <c r="L54" s="22"/>
      <c r="M54" s="20"/>
    </row>
    <row r="55" ht="28" customHeight="1" spans="1:13">
      <c r="A55" s="9" t="s">
        <v>2</v>
      </c>
      <c r="B55" s="9" t="s">
        <v>3</v>
      </c>
      <c r="C55" s="9" t="s">
        <v>4</v>
      </c>
      <c r="D55" s="9" t="s">
        <v>5</v>
      </c>
      <c r="E55" s="9" t="s">
        <v>6</v>
      </c>
      <c r="F55" s="10" t="s">
        <v>7</v>
      </c>
      <c r="G55" s="10" t="s">
        <v>8</v>
      </c>
      <c r="H55" s="10"/>
      <c r="I55" s="10"/>
      <c r="J55" s="10"/>
      <c r="K55" s="10" t="s">
        <v>9</v>
      </c>
      <c r="L55" s="9" t="s">
        <v>10</v>
      </c>
      <c r="M55" s="10" t="s">
        <v>11</v>
      </c>
    </row>
    <row r="56" ht="30" customHeight="1" spans="1:13">
      <c r="A56" s="9"/>
      <c r="B56" s="9"/>
      <c r="C56" s="9"/>
      <c r="D56" s="9"/>
      <c r="E56" s="9"/>
      <c r="F56" s="10"/>
      <c r="G56" s="10" t="s">
        <v>12</v>
      </c>
      <c r="H56" s="10" t="s">
        <v>13</v>
      </c>
      <c r="I56" s="10" t="s">
        <v>14</v>
      </c>
      <c r="J56" s="10" t="s">
        <v>15</v>
      </c>
      <c r="K56" s="10"/>
      <c r="L56" s="9"/>
      <c r="M56" s="10"/>
    </row>
    <row r="57" ht="28" customHeight="1" spans="1:13">
      <c r="A57" s="15">
        <v>46</v>
      </c>
      <c r="B57" s="16" t="str">
        <f>"刘婧"</f>
        <v>刘婧</v>
      </c>
      <c r="C57" s="16" t="str">
        <f>"女"</f>
        <v>女</v>
      </c>
      <c r="D57" s="17" t="s">
        <v>16</v>
      </c>
      <c r="E57" s="20" t="s">
        <v>18</v>
      </c>
      <c r="F57" s="20" t="s">
        <v>18</v>
      </c>
      <c r="G57" s="20" t="s">
        <v>18</v>
      </c>
      <c r="H57" s="20" t="s">
        <v>18</v>
      </c>
      <c r="I57" s="20" t="s">
        <v>18</v>
      </c>
      <c r="J57" s="20" t="s">
        <v>18</v>
      </c>
      <c r="K57" s="20" t="s">
        <v>18</v>
      </c>
      <c r="L57" s="22"/>
      <c r="M57" s="20"/>
    </row>
    <row r="58" ht="28" customHeight="1" spans="1:13">
      <c r="A58" s="15">
        <v>47</v>
      </c>
      <c r="B58" s="16" t="str">
        <f>"刘倩"</f>
        <v>刘倩</v>
      </c>
      <c r="C58" s="16" t="str">
        <f>"女"</f>
        <v>女</v>
      </c>
      <c r="D58" s="17" t="s">
        <v>16</v>
      </c>
      <c r="E58" s="20" t="s">
        <v>18</v>
      </c>
      <c r="F58" s="20" t="s">
        <v>18</v>
      </c>
      <c r="G58" s="20" t="s">
        <v>18</v>
      </c>
      <c r="H58" s="20" t="s">
        <v>18</v>
      </c>
      <c r="I58" s="20" t="s">
        <v>18</v>
      </c>
      <c r="J58" s="20" t="s">
        <v>18</v>
      </c>
      <c r="K58" s="20" t="s">
        <v>18</v>
      </c>
      <c r="L58" s="22"/>
      <c r="M58" s="20"/>
    </row>
    <row r="59" ht="28" customHeight="1" spans="1:13">
      <c r="A59" s="15">
        <v>48</v>
      </c>
      <c r="B59" s="16" t="str">
        <f>"田蓉"</f>
        <v>田蓉</v>
      </c>
      <c r="C59" s="16" t="str">
        <f>"女"</f>
        <v>女</v>
      </c>
      <c r="D59" s="17" t="s">
        <v>16</v>
      </c>
      <c r="E59" s="20" t="s">
        <v>18</v>
      </c>
      <c r="F59" s="20" t="s">
        <v>18</v>
      </c>
      <c r="G59" s="20" t="s">
        <v>18</v>
      </c>
      <c r="H59" s="20" t="s">
        <v>18</v>
      </c>
      <c r="I59" s="20" t="s">
        <v>18</v>
      </c>
      <c r="J59" s="20" t="s">
        <v>18</v>
      </c>
      <c r="K59" s="20" t="s">
        <v>18</v>
      </c>
      <c r="L59" s="22"/>
      <c r="M59" s="20"/>
    </row>
    <row r="60" ht="28" customHeight="1" spans="1:13">
      <c r="A60" s="15">
        <v>49</v>
      </c>
      <c r="B60" s="16" t="str">
        <f>"彭一鸣"</f>
        <v>彭一鸣</v>
      </c>
      <c r="C60" s="16" t="str">
        <f>"男"</f>
        <v>男</v>
      </c>
      <c r="D60" s="17" t="s">
        <v>16</v>
      </c>
      <c r="E60" s="20" t="s">
        <v>18</v>
      </c>
      <c r="F60" s="20" t="s">
        <v>18</v>
      </c>
      <c r="G60" s="20" t="s">
        <v>18</v>
      </c>
      <c r="H60" s="20" t="s">
        <v>18</v>
      </c>
      <c r="I60" s="20" t="s">
        <v>18</v>
      </c>
      <c r="J60" s="20" t="s">
        <v>18</v>
      </c>
      <c r="K60" s="20" t="s">
        <v>18</v>
      </c>
      <c r="L60" s="22"/>
      <c r="M60" s="20"/>
    </row>
    <row r="61" ht="28" customHeight="1" spans="1:13">
      <c r="A61" s="15">
        <v>50</v>
      </c>
      <c r="B61" s="16" t="str">
        <f>"范玲童"</f>
        <v>范玲童</v>
      </c>
      <c r="C61" s="16" t="str">
        <f>"女"</f>
        <v>女</v>
      </c>
      <c r="D61" s="17" t="s">
        <v>16</v>
      </c>
      <c r="E61" s="20" t="s">
        <v>18</v>
      </c>
      <c r="F61" s="20" t="s">
        <v>18</v>
      </c>
      <c r="G61" s="20" t="s">
        <v>18</v>
      </c>
      <c r="H61" s="20" t="s">
        <v>18</v>
      </c>
      <c r="I61" s="20" t="s">
        <v>18</v>
      </c>
      <c r="J61" s="20" t="s">
        <v>18</v>
      </c>
      <c r="K61" s="20" t="s">
        <v>18</v>
      </c>
      <c r="L61" s="22"/>
      <c r="M61" s="20"/>
    </row>
    <row r="62" ht="28" customHeight="1" spans="1:13">
      <c r="A62" s="15">
        <v>51</v>
      </c>
      <c r="B62" s="16" t="str">
        <f>"杨咏梅"</f>
        <v>杨咏梅</v>
      </c>
      <c r="C62" s="16" t="str">
        <f>"女"</f>
        <v>女</v>
      </c>
      <c r="D62" s="15" t="s">
        <v>19</v>
      </c>
      <c r="E62" s="18">
        <v>89.07</v>
      </c>
      <c r="F62" s="18">
        <f>E62*0.4</f>
        <v>35.628</v>
      </c>
      <c r="G62" s="19">
        <v>88.6</v>
      </c>
      <c r="H62" s="19">
        <f>G62*0.3</f>
        <v>26.58</v>
      </c>
      <c r="I62" s="19">
        <v>81.8</v>
      </c>
      <c r="J62" s="19">
        <f>I62*0.3</f>
        <v>24.54</v>
      </c>
      <c r="K62" s="19">
        <f>F62+H62+J62</f>
        <v>86.748</v>
      </c>
      <c r="L62" s="20">
        <v>1</v>
      </c>
      <c r="M62" s="19"/>
    </row>
    <row r="63" ht="28" customHeight="1" spans="1:13">
      <c r="A63" s="15">
        <v>52</v>
      </c>
      <c r="B63" s="16" t="str">
        <f>"刘珊红"</f>
        <v>刘珊红</v>
      </c>
      <c r="C63" s="16" t="str">
        <f>"女"</f>
        <v>女</v>
      </c>
      <c r="D63" s="15" t="s">
        <v>19</v>
      </c>
      <c r="E63" s="18">
        <v>83.98</v>
      </c>
      <c r="F63" s="18">
        <f>E63*0.4</f>
        <v>33.592</v>
      </c>
      <c r="G63" s="19">
        <v>85.8</v>
      </c>
      <c r="H63" s="19">
        <f>G63*0.3</f>
        <v>25.74</v>
      </c>
      <c r="I63" s="19">
        <v>83.6</v>
      </c>
      <c r="J63" s="19">
        <f>I63*0.3</f>
        <v>25.08</v>
      </c>
      <c r="K63" s="19">
        <f>F63+H63+J63</f>
        <v>84.412</v>
      </c>
      <c r="L63" s="20">
        <v>2</v>
      </c>
      <c r="M63" s="19"/>
    </row>
    <row r="64" ht="28" customHeight="1" spans="1:13">
      <c r="A64" s="15">
        <v>53</v>
      </c>
      <c r="B64" s="16" t="str">
        <f>"雷鹏"</f>
        <v>雷鹏</v>
      </c>
      <c r="C64" s="16" t="str">
        <f>"男"</f>
        <v>男</v>
      </c>
      <c r="D64" s="15" t="s">
        <v>19</v>
      </c>
      <c r="E64" s="18">
        <v>79.7</v>
      </c>
      <c r="F64" s="18">
        <f>E64*0.4</f>
        <v>31.88</v>
      </c>
      <c r="G64" s="19">
        <v>84.8</v>
      </c>
      <c r="H64" s="19">
        <f>G64*0.3</f>
        <v>25.44</v>
      </c>
      <c r="I64" s="19">
        <v>86.6</v>
      </c>
      <c r="J64" s="19">
        <f>I64*0.3</f>
        <v>25.98</v>
      </c>
      <c r="K64" s="19">
        <f>F64+H64+J64</f>
        <v>83.3</v>
      </c>
      <c r="L64" s="20">
        <v>3</v>
      </c>
      <c r="M64" s="19"/>
    </row>
    <row r="65" ht="28" customHeight="1" spans="1:13">
      <c r="A65" s="15">
        <v>54</v>
      </c>
      <c r="B65" s="16" t="str">
        <f>"吴雅梅"</f>
        <v>吴雅梅</v>
      </c>
      <c r="C65" s="16" t="str">
        <f>"女"</f>
        <v>女</v>
      </c>
      <c r="D65" s="15" t="s">
        <v>19</v>
      </c>
      <c r="E65" s="18">
        <v>83.26</v>
      </c>
      <c r="F65" s="18">
        <f>E65*0.4</f>
        <v>33.304</v>
      </c>
      <c r="G65" s="19">
        <v>81.9</v>
      </c>
      <c r="H65" s="19">
        <f>G65*0.3</f>
        <v>24.57</v>
      </c>
      <c r="I65" s="19">
        <v>80.2</v>
      </c>
      <c r="J65" s="19">
        <f>I65*0.3</f>
        <v>24.06</v>
      </c>
      <c r="K65" s="19">
        <f>F65+H65+J65</f>
        <v>81.934</v>
      </c>
      <c r="L65" s="20">
        <v>4</v>
      </c>
      <c r="M65" s="19"/>
    </row>
    <row r="66" ht="28" customHeight="1" spans="1:12">
      <c r="A66" s="15">
        <v>55</v>
      </c>
      <c r="B66" s="16" t="str">
        <f>"周思源"</f>
        <v>周思源</v>
      </c>
      <c r="C66" s="16" t="str">
        <f>"女"</f>
        <v>女</v>
      </c>
      <c r="D66" s="15" t="s">
        <v>19</v>
      </c>
      <c r="E66" s="20" t="s">
        <v>20</v>
      </c>
      <c r="F66" s="19">
        <v>0</v>
      </c>
      <c r="G66" s="20" t="s">
        <v>18</v>
      </c>
      <c r="H66" s="20" t="s">
        <v>18</v>
      </c>
      <c r="I66" s="20" t="s">
        <v>18</v>
      </c>
      <c r="J66" s="20" t="s">
        <v>18</v>
      </c>
      <c r="K66" s="20" t="s">
        <v>18</v>
      </c>
      <c r="L66" s="23"/>
    </row>
    <row r="67" ht="28" customHeight="1" spans="1:13">
      <c r="A67" s="15">
        <v>56</v>
      </c>
      <c r="B67" s="16" t="str">
        <f>"隆圆君"</f>
        <v>隆圆君</v>
      </c>
      <c r="C67" s="16" t="str">
        <f>"男"</f>
        <v>男</v>
      </c>
      <c r="D67" s="15" t="s">
        <v>19</v>
      </c>
      <c r="E67" s="20" t="s">
        <v>18</v>
      </c>
      <c r="F67" s="20" t="s">
        <v>18</v>
      </c>
      <c r="G67" s="20" t="s">
        <v>18</v>
      </c>
      <c r="H67" s="20" t="s">
        <v>18</v>
      </c>
      <c r="I67" s="20" t="s">
        <v>18</v>
      </c>
      <c r="J67" s="20" t="s">
        <v>18</v>
      </c>
      <c r="K67" s="20" t="s">
        <v>18</v>
      </c>
      <c r="L67" s="20"/>
      <c r="M67" s="20"/>
    </row>
    <row r="68" ht="28" customHeight="1" spans="1:13">
      <c r="A68" s="15">
        <v>57</v>
      </c>
      <c r="B68" s="16" t="str">
        <f>"钱学明"</f>
        <v>钱学明</v>
      </c>
      <c r="C68" s="16" t="str">
        <f>"男"</f>
        <v>男</v>
      </c>
      <c r="D68" s="15" t="s">
        <v>19</v>
      </c>
      <c r="E68" s="20" t="s">
        <v>18</v>
      </c>
      <c r="F68" s="20" t="s">
        <v>18</v>
      </c>
      <c r="G68" s="20" t="s">
        <v>18</v>
      </c>
      <c r="H68" s="20" t="s">
        <v>18</v>
      </c>
      <c r="I68" s="20" t="s">
        <v>18</v>
      </c>
      <c r="J68" s="20" t="s">
        <v>18</v>
      </c>
      <c r="K68" s="20" t="s">
        <v>18</v>
      </c>
      <c r="L68" s="20"/>
      <c r="M68" s="20"/>
    </row>
    <row r="69" ht="28" customHeight="1" spans="1:13">
      <c r="A69" s="15">
        <v>58</v>
      </c>
      <c r="B69" s="16" t="str">
        <f>"李林奇"</f>
        <v>李林奇</v>
      </c>
      <c r="C69" s="16" t="str">
        <f>"女"</f>
        <v>女</v>
      </c>
      <c r="D69" s="15" t="s">
        <v>19</v>
      </c>
      <c r="E69" s="20" t="s">
        <v>18</v>
      </c>
      <c r="F69" s="20" t="s">
        <v>18</v>
      </c>
      <c r="G69" s="20" t="s">
        <v>18</v>
      </c>
      <c r="H69" s="20" t="s">
        <v>18</v>
      </c>
      <c r="I69" s="20" t="s">
        <v>18</v>
      </c>
      <c r="J69" s="20" t="s">
        <v>18</v>
      </c>
      <c r="K69" s="20" t="s">
        <v>18</v>
      </c>
      <c r="L69" s="20"/>
      <c r="M69" s="20"/>
    </row>
    <row r="70" ht="28" customHeight="1" spans="1:13">
      <c r="A70" s="15">
        <v>59</v>
      </c>
      <c r="B70" s="16" t="str">
        <f>"刘名"</f>
        <v>刘名</v>
      </c>
      <c r="C70" s="16" t="str">
        <f>"女"</f>
        <v>女</v>
      </c>
      <c r="D70" s="17" t="s">
        <v>21</v>
      </c>
      <c r="E70" s="18">
        <v>80.2</v>
      </c>
      <c r="F70" s="18">
        <f>E70*0.4</f>
        <v>32.08</v>
      </c>
      <c r="G70" s="19">
        <v>86</v>
      </c>
      <c r="H70" s="19">
        <f>G70*0.3</f>
        <v>25.8</v>
      </c>
      <c r="I70" s="19">
        <v>84.2</v>
      </c>
      <c r="J70" s="19">
        <f>I70*0.3</f>
        <v>25.26</v>
      </c>
      <c r="K70" s="19">
        <f>F70+H70+J70</f>
        <v>83.14</v>
      </c>
      <c r="L70" s="20">
        <v>1</v>
      </c>
      <c r="M70" s="19"/>
    </row>
    <row r="71" ht="28" customHeight="1" spans="1:13">
      <c r="A71" s="15">
        <v>60</v>
      </c>
      <c r="B71" s="16" t="str">
        <f>"陈孟溥熹"</f>
        <v>陈孟溥熹</v>
      </c>
      <c r="C71" s="16" t="str">
        <f>"男"</f>
        <v>男</v>
      </c>
      <c r="D71" s="17" t="s">
        <v>21</v>
      </c>
      <c r="E71" s="18">
        <v>79</v>
      </c>
      <c r="F71" s="18">
        <f>E71*0.4</f>
        <v>31.6</v>
      </c>
      <c r="G71" s="19">
        <v>76.8</v>
      </c>
      <c r="H71" s="19">
        <f>G71*0.3</f>
        <v>23.04</v>
      </c>
      <c r="I71" s="19">
        <v>74.6</v>
      </c>
      <c r="J71" s="19">
        <f>I71*0.3</f>
        <v>22.38</v>
      </c>
      <c r="K71" s="19">
        <f>F71+H71+J71</f>
        <v>77.02</v>
      </c>
      <c r="L71" s="20">
        <v>2</v>
      </c>
      <c r="M71" s="19"/>
    </row>
    <row r="72" ht="28" customHeight="1" spans="1:13">
      <c r="A72" s="15">
        <v>61</v>
      </c>
      <c r="B72" s="16" t="str">
        <f>"刘婷婷"</f>
        <v>刘婷婷</v>
      </c>
      <c r="C72" s="16" t="str">
        <f>"女"</f>
        <v>女</v>
      </c>
      <c r="D72" s="17" t="s">
        <v>21</v>
      </c>
      <c r="E72" s="20" t="s">
        <v>18</v>
      </c>
      <c r="F72" s="20" t="s">
        <v>18</v>
      </c>
      <c r="G72" s="20" t="s">
        <v>18</v>
      </c>
      <c r="H72" s="20" t="s">
        <v>18</v>
      </c>
      <c r="I72" s="20" t="s">
        <v>18</v>
      </c>
      <c r="J72" s="20" t="s">
        <v>18</v>
      </c>
      <c r="K72" s="20" t="s">
        <v>18</v>
      </c>
      <c r="L72" s="20"/>
      <c r="M72" s="20"/>
    </row>
    <row r="73" ht="28" customHeight="1" spans="1:13">
      <c r="A73" s="9" t="s">
        <v>2</v>
      </c>
      <c r="B73" s="9" t="s">
        <v>3</v>
      </c>
      <c r="C73" s="9" t="s">
        <v>4</v>
      </c>
      <c r="D73" s="9" t="s">
        <v>5</v>
      </c>
      <c r="E73" s="9" t="s">
        <v>6</v>
      </c>
      <c r="F73" s="10" t="s">
        <v>7</v>
      </c>
      <c r="G73" s="10" t="s">
        <v>8</v>
      </c>
      <c r="H73" s="10"/>
      <c r="I73" s="10"/>
      <c r="J73" s="10"/>
      <c r="K73" s="10" t="s">
        <v>9</v>
      </c>
      <c r="L73" s="9" t="s">
        <v>10</v>
      </c>
      <c r="M73" s="10" t="s">
        <v>11</v>
      </c>
    </row>
    <row r="74" ht="28" customHeight="1" spans="1:13">
      <c r="A74" s="9"/>
      <c r="B74" s="9"/>
      <c r="C74" s="9"/>
      <c r="D74" s="9"/>
      <c r="E74" s="9"/>
      <c r="F74" s="10"/>
      <c r="G74" s="10" t="s">
        <v>12</v>
      </c>
      <c r="H74" s="10" t="s">
        <v>13</v>
      </c>
      <c r="I74" s="10" t="s">
        <v>14</v>
      </c>
      <c r="J74" s="10" t="s">
        <v>15</v>
      </c>
      <c r="K74" s="10"/>
      <c r="L74" s="9"/>
      <c r="M74" s="10"/>
    </row>
    <row r="75" ht="28" customHeight="1" spans="1:13">
      <c r="A75" s="15">
        <v>62</v>
      </c>
      <c r="B75" s="16" t="str">
        <f>"邓琼"</f>
        <v>邓琼</v>
      </c>
      <c r="C75" s="16" t="str">
        <f>"女"</f>
        <v>女</v>
      </c>
      <c r="D75" s="17" t="s">
        <v>21</v>
      </c>
      <c r="E75" s="20" t="s">
        <v>18</v>
      </c>
      <c r="F75" s="20" t="s">
        <v>18</v>
      </c>
      <c r="G75" s="20" t="s">
        <v>18</v>
      </c>
      <c r="H75" s="20" t="s">
        <v>18</v>
      </c>
      <c r="I75" s="20" t="s">
        <v>18</v>
      </c>
      <c r="J75" s="20" t="s">
        <v>18</v>
      </c>
      <c r="K75" s="20" t="s">
        <v>18</v>
      </c>
      <c r="L75" s="20"/>
      <c r="M75" s="20"/>
    </row>
    <row r="76" ht="28" customHeight="1" spans="1:13">
      <c r="A76" s="15">
        <v>63</v>
      </c>
      <c r="B76" s="16" t="str">
        <f>"尹小舟"</f>
        <v>尹小舟</v>
      </c>
      <c r="C76" s="16" t="str">
        <f>"女"</f>
        <v>女</v>
      </c>
      <c r="D76" s="15" t="s">
        <v>22</v>
      </c>
      <c r="E76" s="18">
        <v>80.68</v>
      </c>
      <c r="F76" s="18">
        <f>E76*0.4</f>
        <v>32.272</v>
      </c>
      <c r="G76" s="19">
        <v>82.22</v>
      </c>
      <c r="H76" s="19">
        <f>G76*0.3</f>
        <v>24.666</v>
      </c>
      <c r="I76" s="19">
        <v>83</v>
      </c>
      <c r="J76" s="19">
        <f>I76*0.3</f>
        <v>24.9</v>
      </c>
      <c r="K76" s="19">
        <f>F76+H76+J76</f>
        <v>81.838</v>
      </c>
      <c r="L76" s="20">
        <v>1</v>
      </c>
      <c r="M76" s="19"/>
    </row>
    <row r="77" ht="28" customHeight="1" spans="1:13">
      <c r="A77" s="15">
        <v>64</v>
      </c>
      <c r="B77" s="16" t="str">
        <f>"梁雪焱"</f>
        <v>梁雪焱</v>
      </c>
      <c r="C77" s="16" t="str">
        <f>"女"</f>
        <v>女</v>
      </c>
      <c r="D77" s="15" t="s">
        <v>22</v>
      </c>
      <c r="E77" s="20" t="s">
        <v>18</v>
      </c>
      <c r="F77" s="20" t="s">
        <v>18</v>
      </c>
      <c r="G77" s="20" t="s">
        <v>18</v>
      </c>
      <c r="H77" s="20" t="s">
        <v>18</v>
      </c>
      <c r="I77" s="20" t="s">
        <v>18</v>
      </c>
      <c r="J77" s="20" t="s">
        <v>18</v>
      </c>
      <c r="K77" s="20" t="s">
        <v>18</v>
      </c>
      <c r="L77" s="20"/>
      <c r="M77" s="20"/>
    </row>
    <row r="78" ht="28" customHeight="1" spans="1:13">
      <c r="A78" s="15">
        <v>65</v>
      </c>
      <c r="B78" s="16" t="str">
        <f>"郑喜燕"</f>
        <v>郑喜燕</v>
      </c>
      <c r="C78" s="16" t="str">
        <f>"女"</f>
        <v>女</v>
      </c>
      <c r="D78" s="15" t="s">
        <v>22</v>
      </c>
      <c r="E78" s="20" t="s">
        <v>18</v>
      </c>
      <c r="F78" s="20" t="s">
        <v>18</v>
      </c>
      <c r="G78" s="20" t="s">
        <v>18</v>
      </c>
      <c r="H78" s="20" t="s">
        <v>18</v>
      </c>
      <c r="I78" s="20" t="s">
        <v>18</v>
      </c>
      <c r="J78" s="20" t="s">
        <v>18</v>
      </c>
      <c r="K78" s="20" t="s">
        <v>18</v>
      </c>
      <c r="L78" s="20"/>
      <c r="M78" s="20"/>
    </row>
    <row r="79" ht="28" customHeight="1" spans="1:13">
      <c r="A79" s="15">
        <v>66</v>
      </c>
      <c r="B79" s="16" t="str">
        <f>"蒋美"</f>
        <v>蒋美</v>
      </c>
      <c r="C79" s="16" t="str">
        <f>"男"</f>
        <v>男</v>
      </c>
      <c r="D79" s="15" t="s">
        <v>22</v>
      </c>
      <c r="E79" s="20" t="s">
        <v>18</v>
      </c>
      <c r="F79" s="20" t="s">
        <v>18</v>
      </c>
      <c r="G79" s="20" t="s">
        <v>18</v>
      </c>
      <c r="H79" s="20" t="s">
        <v>18</v>
      </c>
      <c r="I79" s="20" t="s">
        <v>18</v>
      </c>
      <c r="J79" s="20" t="s">
        <v>18</v>
      </c>
      <c r="K79" s="20" t="s">
        <v>18</v>
      </c>
      <c r="L79" s="20"/>
      <c r="M79" s="20"/>
    </row>
    <row r="80" ht="36" customHeight="1" spans="1:13">
      <c r="A80" s="7" t="s">
        <v>23</v>
      </c>
      <c r="B80" s="7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</row>
    <row r="81" ht="30" customHeight="1" spans="1:13">
      <c r="A81" s="9" t="s">
        <v>2</v>
      </c>
      <c r="B81" s="9" t="s">
        <v>3</v>
      </c>
      <c r="C81" s="9" t="s">
        <v>4</v>
      </c>
      <c r="D81" s="9" t="s">
        <v>24</v>
      </c>
      <c r="E81" s="9" t="s">
        <v>25</v>
      </c>
      <c r="F81" s="10" t="s">
        <v>7</v>
      </c>
      <c r="G81" s="10" t="s">
        <v>8</v>
      </c>
      <c r="H81" s="10"/>
      <c r="I81" s="10"/>
      <c r="J81" s="10"/>
      <c r="K81" s="10" t="s">
        <v>9</v>
      </c>
      <c r="L81" s="9" t="s">
        <v>10</v>
      </c>
      <c r="M81" s="10" t="s">
        <v>11</v>
      </c>
    </row>
    <row r="82" ht="30" customHeight="1" spans="1:13">
      <c r="A82" s="9"/>
      <c r="B82" s="9"/>
      <c r="C82" s="9"/>
      <c r="D82" s="9"/>
      <c r="E82" s="9"/>
      <c r="F82" s="10"/>
      <c r="G82" s="10" t="s">
        <v>26</v>
      </c>
      <c r="H82" s="10"/>
      <c r="I82" s="10" t="s">
        <v>27</v>
      </c>
      <c r="J82" s="10"/>
      <c r="K82" s="10"/>
      <c r="L82" s="9"/>
      <c r="M82" s="10"/>
    </row>
    <row r="83" ht="30" customHeight="1" spans="1:13">
      <c r="A83" s="15">
        <v>1</v>
      </c>
      <c r="B83" s="16" t="s">
        <v>28</v>
      </c>
      <c r="C83" s="16" t="s">
        <v>29</v>
      </c>
      <c r="D83" s="17" t="s">
        <v>30</v>
      </c>
      <c r="E83" s="18">
        <v>80</v>
      </c>
      <c r="F83" s="18">
        <f>E83*0.4</f>
        <v>32</v>
      </c>
      <c r="G83" s="19">
        <v>94.67</v>
      </c>
      <c r="H83" s="19"/>
      <c r="I83" s="19">
        <f>G83*0.6</f>
        <v>56.802</v>
      </c>
      <c r="J83" s="19"/>
      <c r="K83" s="19">
        <f>F83+I83</f>
        <v>88.802</v>
      </c>
      <c r="L83" s="20">
        <v>1</v>
      </c>
      <c r="M83" s="19"/>
    </row>
    <row r="84" ht="30" customHeight="1" spans="1:13">
      <c r="A84" s="15">
        <v>2</v>
      </c>
      <c r="B84" s="16" t="s">
        <v>31</v>
      </c>
      <c r="C84" s="16" t="s">
        <v>29</v>
      </c>
      <c r="D84" s="17" t="s">
        <v>30</v>
      </c>
      <c r="E84" s="18">
        <v>88.1</v>
      </c>
      <c r="F84" s="18">
        <f t="shared" ref="F84:F96" si="12">E84*0.4</f>
        <v>35.24</v>
      </c>
      <c r="G84" s="19">
        <v>68.03</v>
      </c>
      <c r="H84" s="19"/>
      <c r="I84" s="19">
        <f t="shared" ref="I84:I96" si="13">G84*0.6</f>
        <v>40.818</v>
      </c>
      <c r="J84" s="19"/>
      <c r="K84" s="19">
        <f t="shared" ref="K84:K96" si="14">F84+I84</f>
        <v>76.058</v>
      </c>
      <c r="L84" s="20">
        <v>2</v>
      </c>
      <c r="M84" s="24" t="s">
        <v>32</v>
      </c>
    </row>
    <row r="85" ht="30" customHeight="1" spans="1:13">
      <c r="A85" s="15">
        <v>3</v>
      </c>
      <c r="B85" s="16" t="s">
        <v>33</v>
      </c>
      <c r="C85" s="16" t="s">
        <v>29</v>
      </c>
      <c r="D85" s="17" t="s">
        <v>30</v>
      </c>
      <c r="E85" s="18">
        <v>76.6</v>
      </c>
      <c r="F85" s="18">
        <f t="shared" si="12"/>
        <v>30.64</v>
      </c>
      <c r="G85" s="19">
        <v>70.13</v>
      </c>
      <c r="H85" s="19"/>
      <c r="I85" s="19">
        <f t="shared" si="13"/>
        <v>42.078</v>
      </c>
      <c r="J85" s="19"/>
      <c r="K85" s="19">
        <f t="shared" si="14"/>
        <v>72.718</v>
      </c>
      <c r="L85" s="20">
        <v>3</v>
      </c>
      <c r="M85" s="19"/>
    </row>
    <row r="86" ht="30" customHeight="1" spans="1:13">
      <c r="A86" s="15">
        <v>4</v>
      </c>
      <c r="B86" s="16" t="s">
        <v>34</v>
      </c>
      <c r="C86" s="16" t="s">
        <v>29</v>
      </c>
      <c r="D86" s="17" t="s">
        <v>30</v>
      </c>
      <c r="E86" s="18">
        <v>81.9</v>
      </c>
      <c r="F86" s="18">
        <f t="shared" si="12"/>
        <v>32.76</v>
      </c>
      <c r="G86" s="19">
        <v>43.27</v>
      </c>
      <c r="H86" s="19"/>
      <c r="I86" s="19">
        <f t="shared" si="13"/>
        <v>25.962</v>
      </c>
      <c r="J86" s="19"/>
      <c r="K86" s="19">
        <f t="shared" si="14"/>
        <v>58.722</v>
      </c>
      <c r="L86" s="20">
        <v>4</v>
      </c>
      <c r="M86" s="19"/>
    </row>
    <row r="87" ht="30" customHeight="1" spans="1:13">
      <c r="A87" s="15">
        <v>5</v>
      </c>
      <c r="B87" s="16" t="s">
        <v>31</v>
      </c>
      <c r="C87" s="16" t="s">
        <v>29</v>
      </c>
      <c r="D87" s="17" t="s">
        <v>30</v>
      </c>
      <c r="E87" s="18">
        <v>81.1</v>
      </c>
      <c r="F87" s="18">
        <f t="shared" si="12"/>
        <v>32.44</v>
      </c>
      <c r="G87" s="19">
        <v>36.9</v>
      </c>
      <c r="H87" s="19"/>
      <c r="I87" s="19">
        <f t="shared" si="13"/>
        <v>22.14</v>
      </c>
      <c r="J87" s="19"/>
      <c r="K87" s="19">
        <f t="shared" si="14"/>
        <v>54.58</v>
      </c>
      <c r="L87" s="20">
        <v>5</v>
      </c>
      <c r="M87" s="24" t="s">
        <v>35</v>
      </c>
    </row>
    <row r="88" ht="30" customHeight="1" spans="1:12">
      <c r="A88" s="15">
        <v>6</v>
      </c>
      <c r="B88" s="16" t="s">
        <v>36</v>
      </c>
      <c r="C88" s="16" t="s">
        <v>37</v>
      </c>
      <c r="D88" s="17" t="s">
        <v>30</v>
      </c>
      <c r="E88" s="18">
        <v>86.4</v>
      </c>
      <c r="F88" s="18">
        <f t="shared" si="12"/>
        <v>34.56</v>
      </c>
      <c r="G88" s="19">
        <v>31.27</v>
      </c>
      <c r="H88" s="19"/>
      <c r="I88" s="19">
        <f t="shared" si="13"/>
        <v>18.762</v>
      </c>
      <c r="J88" s="19"/>
      <c r="K88" s="19">
        <f t="shared" si="14"/>
        <v>53.322</v>
      </c>
      <c r="L88" s="20">
        <v>6</v>
      </c>
    </row>
    <row r="89" ht="30" customHeight="1" spans="1:13">
      <c r="A89" s="15">
        <v>7</v>
      </c>
      <c r="B89" s="16" t="s">
        <v>38</v>
      </c>
      <c r="C89" s="16" t="s">
        <v>37</v>
      </c>
      <c r="D89" s="17" t="s">
        <v>30</v>
      </c>
      <c r="E89" s="18">
        <v>85.2</v>
      </c>
      <c r="F89" s="18">
        <f t="shared" si="12"/>
        <v>34.08</v>
      </c>
      <c r="G89" s="19">
        <v>30.93</v>
      </c>
      <c r="H89" s="19"/>
      <c r="I89" s="19">
        <f t="shared" si="13"/>
        <v>18.558</v>
      </c>
      <c r="J89" s="19"/>
      <c r="K89" s="19">
        <f t="shared" si="14"/>
        <v>52.638</v>
      </c>
      <c r="L89" s="20">
        <v>7</v>
      </c>
      <c r="M89" s="19"/>
    </row>
    <row r="90" ht="30" customHeight="1" spans="1:13">
      <c r="A90" s="15">
        <v>8</v>
      </c>
      <c r="B90" s="16" t="s">
        <v>39</v>
      </c>
      <c r="C90" s="16" t="s">
        <v>29</v>
      </c>
      <c r="D90" s="17" t="s">
        <v>30</v>
      </c>
      <c r="E90" s="18">
        <v>84.3</v>
      </c>
      <c r="F90" s="18">
        <f t="shared" si="12"/>
        <v>33.72</v>
      </c>
      <c r="G90" s="19">
        <v>24.73</v>
      </c>
      <c r="H90" s="19"/>
      <c r="I90" s="19">
        <f t="shared" si="13"/>
        <v>14.838</v>
      </c>
      <c r="J90" s="19"/>
      <c r="K90" s="19">
        <f t="shared" si="14"/>
        <v>48.558</v>
      </c>
      <c r="L90" s="20">
        <v>8</v>
      </c>
      <c r="M90" s="19"/>
    </row>
    <row r="91" ht="30" customHeight="1" spans="1:13">
      <c r="A91" s="15">
        <v>9</v>
      </c>
      <c r="B91" s="16" t="s">
        <v>40</v>
      </c>
      <c r="C91" s="16" t="s">
        <v>37</v>
      </c>
      <c r="D91" s="17" t="s">
        <v>30</v>
      </c>
      <c r="E91" s="18">
        <v>83.6</v>
      </c>
      <c r="F91" s="18">
        <f t="shared" si="12"/>
        <v>33.44</v>
      </c>
      <c r="G91" s="19">
        <v>21.47</v>
      </c>
      <c r="H91" s="19"/>
      <c r="I91" s="19">
        <f t="shared" si="13"/>
        <v>12.882</v>
      </c>
      <c r="J91" s="19"/>
      <c r="K91" s="19">
        <f t="shared" si="14"/>
        <v>46.322</v>
      </c>
      <c r="L91" s="20">
        <v>9</v>
      </c>
      <c r="M91" s="19"/>
    </row>
    <row r="92" ht="30" customHeight="1" spans="1:13">
      <c r="A92" s="15">
        <v>10</v>
      </c>
      <c r="B92" s="16" t="s">
        <v>41</v>
      </c>
      <c r="C92" s="16" t="s">
        <v>29</v>
      </c>
      <c r="D92" s="17" t="s">
        <v>30</v>
      </c>
      <c r="E92" s="18">
        <v>75</v>
      </c>
      <c r="F92" s="18">
        <f t="shared" si="12"/>
        <v>30</v>
      </c>
      <c r="G92" s="19">
        <v>27.1</v>
      </c>
      <c r="H92" s="19"/>
      <c r="I92" s="19">
        <f t="shared" si="13"/>
        <v>16.26</v>
      </c>
      <c r="J92" s="19"/>
      <c r="K92" s="19">
        <f t="shared" si="14"/>
        <v>46.26</v>
      </c>
      <c r="L92" s="20">
        <v>10</v>
      </c>
      <c r="M92" s="19"/>
    </row>
    <row r="93" ht="30" customHeight="1" spans="1:13">
      <c r="A93" s="15">
        <v>11</v>
      </c>
      <c r="B93" s="16" t="s">
        <v>42</v>
      </c>
      <c r="C93" s="16" t="s">
        <v>37</v>
      </c>
      <c r="D93" s="17" t="s">
        <v>30</v>
      </c>
      <c r="E93" s="18">
        <v>81.7</v>
      </c>
      <c r="F93" s="18">
        <f t="shared" si="12"/>
        <v>32.68</v>
      </c>
      <c r="G93" s="19">
        <v>17.3</v>
      </c>
      <c r="H93" s="19"/>
      <c r="I93" s="19">
        <f t="shared" si="13"/>
        <v>10.38</v>
      </c>
      <c r="J93" s="19"/>
      <c r="K93" s="19">
        <f t="shared" si="14"/>
        <v>43.06</v>
      </c>
      <c r="L93" s="20">
        <v>11</v>
      </c>
      <c r="M93" s="19"/>
    </row>
    <row r="94" ht="30" customHeight="1" spans="1:13">
      <c r="A94" s="15">
        <v>12</v>
      </c>
      <c r="B94" s="16" t="s">
        <v>43</v>
      </c>
      <c r="C94" s="16" t="s">
        <v>29</v>
      </c>
      <c r="D94" s="17" t="s">
        <v>30</v>
      </c>
      <c r="E94" s="18">
        <v>81</v>
      </c>
      <c r="F94" s="18">
        <f t="shared" si="12"/>
        <v>32.4</v>
      </c>
      <c r="G94" s="19">
        <v>16.97</v>
      </c>
      <c r="H94" s="19"/>
      <c r="I94" s="19">
        <f t="shared" si="13"/>
        <v>10.182</v>
      </c>
      <c r="J94" s="19"/>
      <c r="K94" s="19">
        <f t="shared" si="14"/>
        <v>42.582</v>
      </c>
      <c r="L94" s="20">
        <v>12</v>
      </c>
      <c r="M94" s="19"/>
    </row>
    <row r="95" ht="30" customHeight="1" spans="1:13">
      <c r="A95" s="15">
        <v>13</v>
      </c>
      <c r="B95" s="16" t="s">
        <v>44</v>
      </c>
      <c r="C95" s="16" t="s">
        <v>37</v>
      </c>
      <c r="D95" s="17" t="s">
        <v>30</v>
      </c>
      <c r="E95" s="18">
        <v>83.9</v>
      </c>
      <c r="F95" s="18">
        <f t="shared" si="12"/>
        <v>33.56</v>
      </c>
      <c r="G95" s="19">
        <v>12.3</v>
      </c>
      <c r="H95" s="19"/>
      <c r="I95" s="19">
        <f t="shared" si="13"/>
        <v>7.38</v>
      </c>
      <c r="J95" s="19"/>
      <c r="K95" s="19">
        <f t="shared" si="14"/>
        <v>40.94</v>
      </c>
      <c r="L95" s="20">
        <v>13</v>
      </c>
      <c r="M95" s="19"/>
    </row>
    <row r="96" ht="30" customHeight="1" spans="1:13">
      <c r="A96" s="15">
        <v>14</v>
      </c>
      <c r="B96" s="16" t="s">
        <v>45</v>
      </c>
      <c r="C96" s="16" t="s">
        <v>29</v>
      </c>
      <c r="D96" s="17" t="s">
        <v>30</v>
      </c>
      <c r="E96" s="18">
        <v>81</v>
      </c>
      <c r="F96" s="18">
        <f t="shared" si="12"/>
        <v>32.4</v>
      </c>
      <c r="G96" s="19">
        <v>11.71</v>
      </c>
      <c r="H96" s="19"/>
      <c r="I96" s="19">
        <f t="shared" si="13"/>
        <v>7.026</v>
      </c>
      <c r="J96" s="19"/>
      <c r="K96" s="19">
        <f t="shared" si="14"/>
        <v>39.426</v>
      </c>
      <c r="L96" s="20">
        <v>14</v>
      </c>
      <c r="M96" s="19"/>
    </row>
    <row r="97" ht="30" customHeight="1" spans="1:13">
      <c r="A97" s="9" t="s">
        <v>2</v>
      </c>
      <c r="B97" s="9" t="s">
        <v>3</v>
      </c>
      <c r="C97" s="9" t="s">
        <v>4</v>
      </c>
      <c r="D97" s="9" t="s">
        <v>24</v>
      </c>
      <c r="E97" s="9" t="s">
        <v>25</v>
      </c>
      <c r="F97" s="10" t="s">
        <v>7</v>
      </c>
      <c r="G97" s="10" t="s">
        <v>8</v>
      </c>
      <c r="H97" s="10"/>
      <c r="I97" s="10"/>
      <c r="J97" s="10"/>
      <c r="K97" s="10" t="s">
        <v>9</v>
      </c>
      <c r="L97" s="9" t="s">
        <v>10</v>
      </c>
      <c r="M97" s="10" t="s">
        <v>11</v>
      </c>
    </row>
    <row r="98" ht="30" customHeight="1" spans="1:13">
      <c r="A98" s="9"/>
      <c r="B98" s="9"/>
      <c r="C98" s="9"/>
      <c r="D98" s="9"/>
      <c r="E98" s="9"/>
      <c r="F98" s="10"/>
      <c r="G98" s="10" t="s">
        <v>26</v>
      </c>
      <c r="H98" s="10"/>
      <c r="I98" s="10" t="s">
        <v>27</v>
      </c>
      <c r="J98" s="10"/>
      <c r="K98" s="10"/>
      <c r="L98" s="9"/>
      <c r="M98" s="10"/>
    </row>
    <row r="99" ht="30" customHeight="1" spans="1:12">
      <c r="A99" s="15">
        <v>15</v>
      </c>
      <c r="B99" s="16" t="str">
        <f>"袁小婷"</f>
        <v>袁小婷</v>
      </c>
      <c r="C99" s="16" t="str">
        <f>"女"</f>
        <v>女</v>
      </c>
      <c r="D99" s="17" t="s">
        <v>30</v>
      </c>
      <c r="E99" s="20" t="s">
        <v>20</v>
      </c>
      <c r="F99" s="18">
        <v>0</v>
      </c>
      <c r="G99" s="20" t="s">
        <v>18</v>
      </c>
      <c r="H99" s="20"/>
      <c r="I99" s="20" t="s">
        <v>18</v>
      </c>
      <c r="J99" s="20"/>
      <c r="K99" s="19" t="s">
        <v>18</v>
      </c>
      <c r="L99" s="23"/>
    </row>
    <row r="100" ht="30" customHeight="1" spans="1:13">
      <c r="A100" s="15">
        <v>16</v>
      </c>
      <c r="B100" s="16" t="str">
        <f>"刘双慰"</f>
        <v>刘双慰</v>
      </c>
      <c r="C100" s="16" t="str">
        <f>"男"</f>
        <v>男</v>
      </c>
      <c r="D100" s="17" t="s">
        <v>30</v>
      </c>
      <c r="E100" s="20" t="s">
        <v>18</v>
      </c>
      <c r="F100" s="20" t="s">
        <v>18</v>
      </c>
      <c r="G100" s="20" t="s">
        <v>18</v>
      </c>
      <c r="H100" s="20"/>
      <c r="I100" s="20" t="s">
        <v>18</v>
      </c>
      <c r="J100" s="20"/>
      <c r="K100" s="19" t="s">
        <v>18</v>
      </c>
      <c r="L100" s="19"/>
      <c r="M100" s="19"/>
    </row>
    <row r="101" ht="30" customHeight="1" spans="1:13">
      <c r="A101" s="15">
        <v>17</v>
      </c>
      <c r="B101" s="16" t="str">
        <f>"江枫"</f>
        <v>江枫</v>
      </c>
      <c r="C101" s="16" t="str">
        <f>"女"</f>
        <v>女</v>
      </c>
      <c r="D101" s="17" t="s">
        <v>30</v>
      </c>
      <c r="E101" s="20" t="s">
        <v>18</v>
      </c>
      <c r="F101" s="20" t="s">
        <v>18</v>
      </c>
      <c r="G101" s="20" t="s">
        <v>18</v>
      </c>
      <c r="H101" s="20"/>
      <c r="I101" s="20" t="s">
        <v>18</v>
      </c>
      <c r="J101" s="20"/>
      <c r="K101" s="19" t="s">
        <v>18</v>
      </c>
      <c r="L101" s="19"/>
      <c r="M101" s="19"/>
    </row>
    <row r="102" ht="30" customHeight="1" spans="1:13">
      <c r="A102" s="15">
        <v>18</v>
      </c>
      <c r="B102" s="16" t="str">
        <f>"彭巧"</f>
        <v>彭巧</v>
      </c>
      <c r="C102" s="16" t="str">
        <f>"女"</f>
        <v>女</v>
      </c>
      <c r="D102" s="17" t="s">
        <v>30</v>
      </c>
      <c r="E102" s="20" t="s">
        <v>18</v>
      </c>
      <c r="F102" s="20" t="s">
        <v>18</v>
      </c>
      <c r="G102" s="20" t="s">
        <v>18</v>
      </c>
      <c r="H102" s="20"/>
      <c r="I102" s="20" t="s">
        <v>18</v>
      </c>
      <c r="J102" s="20"/>
      <c r="K102" s="19" t="s">
        <v>18</v>
      </c>
      <c r="L102" s="19"/>
      <c r="M102" s="19"/>
    </row>
    <row r="103" ht="30" customHeight="1" spans="1:13">
      <c r="A103" s="15">
        <v>19</v>
      </c>
      <c r="B103" s="16" t="str">
        <f>"周馨"</f>
        <v>周馨</v>
      </c>
      <c r="C103" s="16" t="str">
        <f>"女"</f>
        <v>女</v>
      </c>
      <c r="D103" s="17" t="s">
        <v>30</v>
      </c>
      <c r="E103" s="20" t="s">
        <v>18</v>
      </c>
      <c r="F103" s="20" t="s">
        <v>18</v>
      </c>
      <c r="G103" s="20" t="s">
        <v>18</v>
      </c>
      <c r="H103" s="20"/>
      <c r="I103" s="20" t="s">
        <v>18</v>
      </c>
      <c r="J103" s="20"/>
      <c r="K103" s="19" t="s">
        <v>18</v>
      </c>
      <c r="L103" s="19"/>
      <c r="M103" s="19"/>
    </row>
    <row r="104" ht="30" customHeight="1" spans="1:13">
      <c r="A104" s="15">
        <v>20</v>
      </c>
      <c r="B104" s="16" t="str">
        <f>"龚娅菲"</f>
        <v>龚娅菲</v>
      </c>
      <c r="C104" s="16" t="str">
        <f>"女"</f>
        <v>女</v>
      </c>
      <c r="D104" s="17" t="s">
        <v>30</v>
      </c>
      <c r="E104" s="20" t="s">
        <v>18</v>
      </c>
      <c r="F104" s="20" t="s">
        <v>18</v>
      </c>
      <c r="G104" s="20" t="s">
        <v>18</v>
      </c>
      <c r="H104" s="20"/>
      <c r="I104" s="20" t="s">
        <v>18</v>
      </c>
      <c r="J104" s="20"/>
      <c r="K104" s="19" t="s">
        <v>18</v>
      </c>
      <c r="L104" s="19"/>
      <c r="M104" s="19"/>
    </row>
    <row r="105" ht="30" customHeight="1" spans="1:13">
      <c r="A105" s="15">
        <v>21</v>
      </c>
      <c r="B105" s="16" t="str">
        <f>"胡乐群"</f>
        <v>胡乐群</v>
      </c>
      <c r="C105" s="16" t="str">
        <f>"男"</f>
        <v>男</v>
      </c>
      <c r="D105" s="17" t="s">
        <v>30</v>
      </c>
      <c r="E105" s="20" t="s">
        <v>18</v>
      </c>
      <c r="F105" s="20" t="s">
        <v>18</v>
      </c>
      <c r="G105" s="20" t="s">
        <v>18</v>
      </c>
      <c r="H105" s="20"/>
      <c r="I105" s="20" t="s">
        <v>18</v>
      </c>
      <c r="J105" s="20"/>
      <c r="K105" s="19" t="s">
        <v>18</v>
      </c>
      <c r="L105" s="19"/>
      <c r="M105" s="19"/>
    </row>
    <row r="106" ht="30" customHeight="1" spans="1:13">
      <c r="A106" s="15">
        <v>22</v>
      </c>
      <c r="B106" s="16" t="str">
        <f>"彭志林"</f>
        <v>彭志林</v>
      </c>
      <c r="C106" s="16" t="str">
        <f>"女"</f>
        <v>女</v>
      </c>
      <c r="D106" s="17" t="s">
        <v>30</v>
      </c>
      <c r="E106" s="20" t="s">
        <v>18</v>
      </c>
      <c r="F106" s="20" t="s">
        <v>18</v>
      </c>
      <c r="G106" s="20" t="s">
        <v>18</v>
      </c>
      <c r="H106" s="20"/>
      <c r="I106" s="20" t="s">
        <v>18</v>
      </c>
      <c r="J106" s="20"/>
      <c r="K106" s="19" t="s">
        <v>18</v>
      </c>
      <c r="L106" s="19"/>
      <c r="M106" s="19"/>
    </row>
    <row r="107" ht="30" customHeight="1" spans="1:13">
      <c r="A107" s="15">
        <v>23</v>
      </c>
      <c r="B107" s="16" t="str">
        <f>"杨官爱"</f>
        <v>杨官爱</v>
      </c>
      <c r="C107" s="16" t="str">
        <f>"男"</f>
        <v>男</v>
      </c>
      <c r="D107" s="17" t="s">
        <v>30</v>
      </c>
      <c r="E107" s="20" t="s">
        <v>18</v>
      </c>
      <c r="F107" s="20" t="s">
        <v>18</v>
      </c>
      <c r="G107" s="20" t="s">
        <v>18</v>
      </c>
      <c r="H107" s="20"/>
      <c r="I107" s="20" t="s">
        <v>18</v>
      </c>
      <c r="J107" s="20"/>
      <c r="K107" s="19" t="s">
        <v>18</v>
      </c>
      <c r="L107" s="19"/>
      <c r="M107" s="19"/>
    </row>
    <row r="108" ht="30" customHeight="1" spans="1:13">
      <c r="A108" s="15">
        <v>24</v>
      </c>
      <c r="B108" s="16" t="str">
        <f>"喻琪"</f>
        <v>喻琪</v>
      </c>
      <c r="C108" s="16" t="str">
        <f>"女"</f>
        <v>女</v>
      </c>
      <c r="D108" s="17" t="s">
        <v>30</v>
      </c>
      <c r="E108" s="20" t="s">
        <v>18</v>
      </c>
      <c r="F108" s="20" t="s">
        <v>18</v>
      </c>
      <c r="G108" s="20" t="s">
        <v>18</v>
      </c>
      <c r="H108" s="20"/>
      <c r="I108" s="20" t="s">
        <v>18</v>
      </c>
      <c r="J108" s="20"/>
      <c r="K108" s="19" t="s">
        <v>18</v>
      </c>
      <c r="L108" s="19"/>
      <c r="M108" s="19"/>
    </row>
    <row r="109" ht="30" customHeight="1" spans="1:13">
      <c r="A109" s="15">
        <v>25</v>
      </c>
      <c r="B109" s="16" t="str">
        <f>"喻星"</f>
        <v>喻星</v>
      </c>
      <c r="C109" s="16" t="str">
        <f>"男"</f>
        <v>男</v>
      </c>
      <c r="D109" s="17" t="s">
        <v>30</v>
      </c>
      <c r="E109" s="20" t="s">
        <v>18</v>
      </c>
      <c r="F109" s="20" t="s">
        <v>18</v>
      </c>
      <c r="G109" s="20" t="s">
        <v>18</v>
      </c>
      <c r="H109" s="20"/>
      <c r="I109" s="20" t="s">
        <v>18</v>
      </c>
      <c r="J109" s="20"/>
      <c r="K109" s="19" t="s">
        <v>18</v>
      </c>
      <c r="L109" s="19"/>
      <c r="M109" s="19"/>
    </row>
    <row r="110" ht="30" customHeight="1" spans="1:13">
      <c r="A110" s="15">
        <v>26</v>
      </c>
      <c r="B110" s="16" t="str">
        <f>"彭李"</f>
        <v>彭李</v>
      </c>
      <c r="C110" s="16" t="str">
        <f>"女"</f>
        <v>女</v>
      </c>
      <c r="D110" s="17" t="s">
        <v>30</v>
      </c>
      <c r="E110" s="20" t="s">
        <v>18</v>
      </c>
      <c r="F110" s="20" t="s">
        <v>18</v>
      </c>
      <c r="G110" s="20" t="s">
        <v>18</v>
      </c>
      <c r="H110" s="20"/>
      <c r="I110" s="20" t="s">
        <v>18</v>
      </c>
      <c r="J110" s="20"/>
      <c r="K110" s="19" t="s">
        <v>18</v>
      </c>
      <c r="L110" s="19"/>
      <c r="M110" s="19"/>
    </row>
    <row r="111" ht="30" customHeight="1" spans="1:13">
      <c r="A111" s="15">
        <v>27</v>
      </c>
      <c r="B111" s="16" t="str">
        <f>"田然"</f>
        <v>田然</v>
      </c>
      <c r="C111" s="16" t="str">
        <f>"女"</f>
        <v>女</v>
      </c>
      <c r="D111" s="17" t="s">
        <v>30</v>
      </c>
      <c r="E111" s="20" t="s">
        <v>18</v>
      </c>
      <c r="F111" s="20" t="s">
        <v>18</v>
      </c>
      <c r="G111" s="20" t="s">
        <v>18</v>
      </c>
      <c r="H111" s="20"/>
      <c r="I111" s="20" t="s">
        <v>18</v>
      </c>
      <c r="J111" s="20"/>
      <c r="K111" s="19" t="s">
        <v>18</v>
      </c>
      <c r="L111" s="19"/>
      <c r="M111" s="19"/>
    </row>
    <row r="112" ht="30" customHeight="1" spans="1:13">
      <c r="A112" s="15">
        <v>28</v>
      </c>
      <c r="B112" s="16" t="str">
        <f>"王国强"</f>
        <v>王国强</v>
      </c>
      <c r="C112" s="16" t="str">
        <f>"男"</f>
        <v>男</v>
      </c>
      <c r="D112" s="17" t="s">
        <v>30</v>
      </c>
      <c r="E112" s="20" t="s">
        <v>18</v>
      </c>
      <c r="F112" s="20" t="s">
        <v>18</v>
      </c>
      <c r="G112" s="20" t="s">
        <v>18</v>
      </c>
      <c r="H112" s="20"/>
      <c r="I112" s="20" t="s">
        <v>18</v>
      </c>
      <c r="J112" s="20"/>
      <c r="K112" s="19" t="s">
        <v>18</v>
      </c>
      <c r="L112" s="19"/>
      <c r="M112" s="19"/>
    </row>
    <row r="113" ht="30" customHeight="1" spans="1:13">
      <c r="A113" s="15">
        <v>29</v>
      </c>
      <c r="B113" s="16" t="str">
        <f>"刘娇"</f>
        <v>刘娇</v>
      </c>
      <c r="C113" s="16" t="str">
        <f>"女"</f>
        <v>女</v>
      </c>
      <c r="D113" s="17" t="s">
        <v>30</v>
      </c>
      <c r="E113" s="20" t="s">
        <v>18</v>
      </c>
      <c r="F113" s="20" t="s">
        <v>18</v>
      </c>
      <c r="G113" s="20" t="s">
        <v>18</v>
      </c>
      <c r="H113" s="20"/>
      <c r="I113" s="20" t="s">
        <v>18</v>
      </c>
      <c r="J113" s="20"/>
      <c r="K113" s="19" t="s">
        <v>18</v>
      </c>
      <c r="L113" s="19"/>
      <c r="M113" s="19"/>
    </row>
    <row r="114" ht="30" customHeight="1" spans="1:13">
      <c r="A114" s="9" t="s">
        <v>2</v>
      </c>
      <c r="B114" s="9" t="s">
        <v>3</v>
      </c>
      <c r="C114" s="9" t="s">
        <v>4</v>
      </c>
      <c r="D114" s="9" t="s">
        <v>24</v>
      </c>
      <c r="E114" s="9" t="s">
        <v>25</v>
      </c>
      <c r="F114" s="10" t="s">
        <v>7</v>
      </c>
      <c r="G114" s="10" t="s">
        <v>8</v>
      </c>
      <c r="H114" s="10"/>
      <c r="I114" s="10"/>
      <c r="J114" s="10"/>
      <c r="K114" s="10" t="s">
        <v>9</v>
      </c>
      <c r="L114" s="9" t="s">
        <v>10</v>
      </c>
      <c r="M114" s="10" t="s">
        <v>11</v>
      </c>
    </row>
    <row r="115" ht="30" customHeight="1" spans="1:13">
      <c r="A115" s="9"/>
      <c r="B115" s="9"/>
      <c r="C115" s="9"/>
      <c r="D115" s="9"/>
      <c r="E115" s="9"/>
      <c r="F115" s="10"/>
      <c r="G115" s="10" t="s">
        <v>26</v>
      </c>
      <c r="H115" s="10"/>
      <c r="I115" s="10" t="s">
        <v>27</v>
      </c>
      <c r="J115" s="10"/>
      <c r="K115" s="10"/>
      <c r="L115" s="9"/>
      <c r="M115" s="10"/>
    </row>
    <row r="116" ht="30" customHeight="1" spans="1:13">
      <c r="A116" s="15">
        <v>30</v>
      </c>
      <c r="B116" s="16" t="str">
        <f>"马祖云"</f>
        <v>马祖云</v>
      </c>
      <c r="C116" s="16" t="str">
        <f>"女"</f>
        <v>女</v>
      </c>
      <c r="D116" s="17" t="s">
        <v>30</v>
      </c>
      <c r="E116" s="20" t="s">
        <v>18</v>
      </c>
      <c r="F116" s="20" t="s">
        <v>18</v>
      </c>
      <c r="G116" s="20" t="s">
        <v>18</v>
      </c>
      <c r="H116" s="20"/>
      <c r="I116" s="20" t="s">
        <v>18</v>
      </c>
      <c r="J116" s="20"/>
      <c r="K116" s="19" t="s">
        <v>18</v>
      </c>
      <c r="L116" s="19"/>
      <c r="M116" s="19"/>
    </row>
    <row r="117" ht="30" customHeight="1" spans="1:13">
      <c r="A117" s="15">
        <v>31</v>
      </c>
      <c r="B117" s="16" t="str">
        <f>"康秀菊"</f>
        <v>康秀菊</v>
      </c>
      <c r="C117" s="16" t="str">
        <f>"女"</f>
        <v>女</v>
      </c>
      <c r="D117" s="17" t="s">
        <v>30</v>
      </c>
      <c r="E117" s="20" t="s">
        <v>18</v>
      </c>
      <c r="F117" s="20" t="s">
        <v>18</v>
      </c>
      <c r="G117" s="20" t="s">
        <v>18</v>
      </c>
      <c r="H117" s="20"/>
      <c r="I117" s="20" t="s">
        <v>18</v>
      </c>
      <c r="J117" s="20"/>
      <c r="K117" s="19" t="s">
        <v>18</v>
      </c>
      <c r="L117" s="19"/>
      <c r="M117" s="19"/>
    </row>
    <row r="118" ht="30" customHeight="1" spans="1:13">
      <c r="A118" s="15">
        <v>32</v>
      </c>
      <c r="B118" s="16" t="str">
        <f>"王旺军"</f>
        <v>王旺军</v>
      </c>
      <c r="C118" s="16" t="str">
        <f>"男"</f>
        <v>男</v>
      </c>
      <c r="D118" s="17" t="s">
        <v>30</v>
      </c>
      <c r="E118" s="20" t="s">
        <v>18</v>
      </c>
      <c r="F118" s="20" t="s">
        <v>18</v>
      </c>
      <c r="G118" s="20" t="s">
        <v>18</v>
      </c>
      <c r="H118" s="20"/>
      <c r="I118" s="20" t="s">
        <v>18</v>
      </c>
      <c r="J118" s="20"/>
      <c r="K118" s="19" t="s">
        <v>18</v>
      </c>
      <c r="L118" s="19"/>
      <c r="M118" s="19"/>
    </row>
    <row r="119" ht="30" customHeight="1" spans="1:13">
      <c r="A119" s="15">
        <v>33</v>
      </c>
      <c r="B119" s="16" t="str">
        <f>"李欢"</f>
        <v>李欢</v>
      </c>
      <c r="C119" s="16" t="str">
        <f>"男"</f>
        <v>男</v>
      </c>
      <c r="D119" s="17" t="s">
        <v>30</v>
      </c>
      <c r="E119" s="20" t="s">
        <v>18</v>
      </c>
      <c r="F119" s="20" t="s">
        <v>18</v>
      </c>
      <c r="G119" s="20" t="s">
        <v>18</v>
      </c>
      <c r="H119" s="20"/>
      <c r="I119" s="20" t="s">
        <v>18</v>
      </c>
      <c r="J119" s="20"/>
      <c r="K119" s="19" t="s">
        <v>18</v>
      </c>
      <c r="L119" s="19"/>
      <c r="M119" s="19"/>
    </row>
    <row r="120" ht="30" customHeight="1" spans="1:13">
      <c r="A120" s="15">
        <v>34</v>
      </c>
      <c r="B120" s="16" t="str">
        <f>"苏文"</f>
        <v>苏文</v>
      </c>
      <c r="C120" s="16" t="str">
        <f>"男"</f>
        <v>男</v>
      </c>
      <c r="D120" s="17" t="s">
        <v>46</v>
      </c>
      <c r="E120" s="18">
        <v>71.4</v>
      </c>
      <c r="F120" s="18">
        <f>E120*0.4</f>
        <v>28.56</v>
      </c>
      <c r="G120" s="19">
        <v>39.6</v>
      </c>
      <c r="H120" s="19"/>
      <c r="I120" s="19">
        <f>G120*0.6</f>
        <v>23.76</v>
      </c>
      <c r="J120" s="19"/>
      <c r="K120" s="19">
        <f>F120+I120</f>
        <v>52.32</v>
      </c>
      <c r="L120" s="20">
        <v>1</v>
      </c>
      <c r="M120" s="19"/>
    </row>
    <row r="121" ht="30" customHeight="1" spans="1:13">
      <c r="A121" s="15">
        <v>35</v>
      </c>
      <c r="B121" s="16" t="str">
        <f>"周维"</f>
        <v>周维</v>
      </c>
      <c r="C121" s="16" t="str">
        <f>"男"</f>
        <v>男</v>
      </c>
      <c r="D121" s="17" t="s">
        <v>46</v>
      </c>
      <c r="E121" s="20" t="s">
        <v>18</v>
      </c>
      <c r="F121" s="20" t="s">
        <v>18</v>
      </c>
      <c r="G121" s="20" t="s">
        <v>18</v>
      </c>
      <c r="H121" s="20"/>
      <c r="I121" s="20" t="s">
        <v>18</v>
      </c>
      <c r="J121" s="20"/>
      <c r="K121" s="19" t="s">
        <v>18</v>
      </c>
      <c r="L121" s="19"/>
      <c r="M121" s="19"/>
    </row>
    <row r="122" ht="30" customHeight="1" spans="1:13">
      <c r="A122" s="15">
        <v>36</v>
      </c>
      <c r="B122" s="16" t="str">
        <f>"马凡超"</f>
        <v>马凡超</v>
      </c>
      <c r="C122" s="16" t="str">
        <f>"男"</f>
        <v>男</v>
      </c>
      <c r="D122" s="17" t="s">
        <v>46</v>
      </c>
      <c r="E122" s="20" t="s">
        <v>18</v>
      </c>
      <c r="F122" s="20" t="s">
        <v>18</v>
      </c>
      <c r="G122" s="20" t="s">
        <v>18</v>
      </c>
      <c r="H122" s="20"/>
      <c r="I122" s="20" t="s">
        <v>18</v>
      </c>
      <c r="J122" s="20"/>
      <c r="K122" s="19" t="s">
        <v>18</v>
      </c>
      <c r="L122" s="19"/>
      <c r="M122" s="19"/>
    </row>
    <row r="123" ht="30" customHeight="1" spans="1:13">
      <c r="A123" s="15">
        <v>37</v>
      </c>
      <c r="B123" s="16" t="str">
        <f>"彭玉凤"</f>
        <v>彭玉凤</v>
      </c>
      <c r="C123" s="16" t="str">
        <f>"女"</f>
        <v>女</v>
      </c>
      <c r="D123" s="17" t="s">
        <v>46</v>
      </c>
      <c r="E123" s="20" t="s">
        <v>18</v>
      </c>
      <c r="F123" s="20" t="s">
        <v>18</v>
      </c>
      <c r="G123" s="20" t="s">
        <v>18</v>
      </c>
      <c r="H123" s="20"/>
      <c r="I123" s="20" t="s">
        <v>18</v>
      </c>
      <c r="J123" s="20"/>
      <c r="K123" s="19" t="s">
        <v>18</v>
      </c>
      <c r="L123" s="19"/>
      <c r="M123" s="19"/>
    </row>
    <row r="124" ht="30" customHeight="1" spans="1:13">
      <c r="A124" s="15">
        <v>38</v>
      </c>
      <c r="B124" s="16" t="str">
        <f>"陈俊"</f>
        <v>陈俊</v>
      </c>
      <c r="C124" s="16" t="str">
        <f t="shared" ref="C124:C130" si="15">"男"</f>
        <v>男</v>
      </c>
      <c r="D124" s="17" t="s">
        <v>46</v>
      </c>
      <c r="E124" s="20" t="s">
        <v>18</v>
      </c>
      <c r="F124" s="20" t="s">
        <v>18</v>
      </c>
      <c r="G124" s="20" t="s">
        <v>18</v>
      </c>
      <c r="H124" s="20"/>
      <c r="I124" s="20" t="s">
        <v>18</v>
      </c>
      <c r="J124" s="20"/>
      <c r="K124" s="19" t="s">
        <v>18</v>
      </c>
      <c r="L124" s="19"/>
      <c r="M124" s="19"/>
    </row>
    <row r="125" ht="30" customHeight="1" spans="1:13">
      <c r="A125" s="15">
        <v>39</v>
      </c>
      <c r="B125" s="16" t="str">
        <f>"刘再祥"</f>
        <v>刘再祥</v>
      </c>
      <c r="C125" s="16" t="str">
        <f t="shared" si="15"/>
        <v>男</v>
      </c>
      <c r="D125" s="17" t="s">
        <v>46</v>
      </c>
      <c r="E125" s="20" t="s">
        <v>18</v>
      </c>
      <c r="F125" s="20" t="s">
        <v>18</v>
      </c>
      <c r="G125" s="20" t="s">
        <v>18</v>
      </c>
      <c r="H125" s="20"/>
      <c r="I125" s="20" t="s">
        <v>18</v>
      </c>
      <c r="J125" s="20"/>
      <c r="K125" s="19" t="s">
        <v>18</v>
      </c>
      <c r="L125" s="19"/>
      <c r="M125" s="19"/>
    </row>
    <row r="126" ht="30" customHeight="1" spans="1:13">
      <c r="A126" s="15">
        <v>40</v>
      </c>
      <c r="B126" s="16" t="str">
        <f>"付泽江"</f>
        <v>付泽江</v>
      </c>
      <c r="C126" s="16" t="str">
        <f t="shared" si="15"/>
        <v>男</v>
      </c>
      <c r="D126" s="17" t="s">
        <v>47</v>
      </c>
      <c r="E126" s="18">
        <v>82.6</v>
      </c>
      <c r="F126" s="18">
        <f>E126*0.4</f>
        <v>33.04</v>
      </c>
      <c r="G126" s="19">
        <v>78.4</v>
      </c>
      <c r="H126" s="19"/>
      <c r="I126" s="19">
        <f>G126*0.6</f>
        <v>47.04</v>
      </c>
      <c r="J126" s="19"/>
      <c r="K126" s="19">
        <f>F126+I126</f>
        <v>80.08</v>
      </c>
      <c r="L126" s="20">
        <v>1</v>
      </c>
      <c r="M126" s="19"/>
    </row>
    <row r="127" ht="30" customHeight="1" spans="1:13">
      <c r="A127" s="15">
        <v>41</v>
      </c>
      <c r="B127" s="16" t="str">
        <f>"潘涛"</f>
        <v>潘涛</v>
      </c>
      <c r="C127" s="16" t="str">
        <f t="shared" si="15"/>
        <v>男</v>
      </c>
      <c r="D127" s="17" t="s">
        <v>47</v>
      </c>
      <c r="E127" s="18">
        <v>63</v>
      </c>
      <c r="F127" s="18">
        <f>E127*0.4</f>
        <v>25.2</v>
      </c>
      <c r="G127" s="19">
        <v>47.47</v>
      </c>
      <c r="H127" s="19"/>
      <c r="I127" s="19">
        <f>G127*0.6</f>
        <v>28.482</v>
      </c>
      <c r="J127" s="19"/>
      <c r="K127" s="19">
        <f>F127+I127</f>
        <v>53.682</v>
      </c>
      <c r="L127" s="20">
        <v>2</v>
      </c>
      <c r="M127" s="19"/>
    </row>
    <row r="128" ht="30" customHeight="1" spans="1:13">
      <c r="A128" s="15">
        <v>42</v>
      </c>
      <c r="B128" s="16" t="str">
        <f>"陈云程"</f>
        <v>陈云程</v>
      </c>
      <c r="C128" s="16" t="str">
        <f t="shared" si="15"/>
        <v>男</v>
      </c>
      <c r="D128" s="17" t="s">
        <v>47</v>
      </c>
      <c r="E128" s="18">
        <v>83.2</v>
      </c>
      <c r="F128" s="18">
        <f>E128*0.4</f>
        <v>33.28</v>
      </c>
      <c r="G128" s="19">
        <v>20.66</v>
      </c>
      <c r="H128" s="19"/>
      <c r="I128" s="19">
        <f>G128*0.6</f>
        <v>12.396</v>
      </c>
      <c r="J128" s="19"/>
      <c r="K128" s="19">
        <f>F128+I128</f>
        <v>45.676</v>
      </c>
      <c r="L128" s="20">
        <v>3</v>
      </c>
      <c r="M128" s="19"/>
    </row>
    <row r="129" ht="30" customHeight="1" spans="1:13">
      <c r="A129" s="15">
        <v>43</v>
      </c>
      <c r="B129" s="16" t="str">
        <f>"张德军"</f>
        <v>张德军</v>
      </c>
      <c r="C129" s="16" t="str">
        <f t="shared" si="15"/>
        <v>男</v>
      </c>
      <c r="D129" s="17" t="s">
        <v>47</v>
      </c>
      <c r="E129" s="18">
        <v>73</v>
      </c>
      <c r="F129" s="18">
        <f>E129*0.4</f>
        <v>29.2</v>
      </c>
      <c r="G129" s="19">
        <v>17.97</v>
      </c>
      <c r="H129" s="19"/>
      <c r="I129" s="19">
        <f>G129*0.6</f>
        <v>10.782</v>
      </c>
      <c r="J129" s="19"/>
      <c r="K129" s="19">
        <f>F129+I129</f>
        <v>39.982</v>
      </c>
      <c r="L129" s="20">
        <v>4</v>
      </c>
      <c r="M129" s="19"/>
    </row>
    <row r="130" ht="30" customHeight="1" spans="1:13">
      <c r="A130" s="15">
        <v>44</v>
      </c>
      <c r="B130" s="16" t="str">
        <f>"王文泽"</f>
        <v>王文泽</v>
      </c>
      <c r="C130" s="16" t="str">
        <f t="shared" si="15"/>
        <v>男</v>
      </c>
      <c r="D130" s="17" t="s">
        <v>47</v>
      </c>
      <c r="E130" s="20" t="s">
        <v>18</v>
      </c>
      <c r="F130" s="20" t="s">
        <v>18</v>
      </c>
      <c r="G130" s="20" t="s">
        <v>18</v>
      </c>
      <c r="H130" s="20"/>
      <c r="I130" s="20" t="s">
        <v>18</v>
      </c>
      <c r="J130" s="20"/>
      <c r="K130" s="19" t="s">
        <v>18</v>
      </c>
      <c r="L130" s="19"/>
      <c r="M130" s="19"/>
    </row>
    <row r="131" ht="30" customHeight="1" spans="1:13">
      <c r="A131" s="9" t="s">
        <v>2</v>
      </c>
      <c r="B131" s="9" t="s">
        <v>3</v>
      </c>
      <c r="C131" s="9" t="s">
        <v>4</v>
      </c>
      <c r="D131" s="9" t="s">
        <v>24</v>
      </c>
      <c r="E131" s="9" t="s">
        <v>25</v>
      </c>
      <c r="F131" s="10" t="s">
        <v>7</v>
      </c>
      <c r="G131" s="10" t="s">
        <v>8</v>
      </c>
      <c r="H131" s="10"/>
      <c r="I131" s="10"/>
      <c r="J131" s="10"/>
      <c r="K131" s="10" t="s">
        <v>9</v>
      </c>
      <c r="L131" s="9" t="s">
        <v>10</v>
      </c>
      <c r="M131" s="10" t="s">
        <v>11</v>
      </c>
    </row>
    <row r="132" ht="30" customHeight="1" spans="1:13">
      <c r="A132" s="9"/>
      <c r="B132" s="9"/>
      <c r="C132" s="9"/>
      <c r="D132" s="9"/>
      <c r="E132" s="9"/>
      <c r="F132" s="10"/>
      <c r="G132" s="10" t="s">
        <v>26</v>
      </c>
      <c r="H132" s="10"/>
      <c r="I132" s="10" t="s">
        <v>27</v>
      </c>
      <c r="J132" s="10"/>
      <c r="K132" s="10"/>
      <c r="L132" s="9"/>
      <c r="M132" s="10"/>
    </row>
    <row r="133" ht="30" customHeight="1" spans="1:13">
      <c r="A133" s="15">
        <v>45</v>
      </c>
      <c r="B133" s="16" t="str">
        <f>"龚厚知"</f>
        <v>龚厚知</v>
      </c>
      <c r="C133" s="16" t="str">
        <f t="shared" ref="C133:C140" si="16">"男"</f>
        <v>男</v>
      </c>
      <c r="D133" s="17" t="s">
        <v>47</v>
      </c>
      <c r="E133" s="20" t="s">
        <v>18</v>
      </c>
      <c r="F133" s="20" t="s">
        <v>18</v>
      </c>
      <c r="G133" s="20" t="s">
        <v>18</v>
      </c>
      <c r="H133" s="20"/>
      <c r="I133" s="20" t="s">
        <v>18</v>
      </c>
      <c r="J133" s="20"/>
      <c r="K133" s="19" t="s">
        <v>18</v>
      </c>
      <c r="L133" s="19"/>
      <c r="M133" s="19"/>
    </row>
    <row r="134" ht="30" customHeight="1" spans="1:13">
      <c r="A134" s="15">
        <v>46</v>
      </c>
      <c r="B134" s="16" t="str">
        <f>"杨元印"</f>
        <v>杨元印</v>
      </c>
      <c r="C134" s="16" t="str">
        <f t="shared" si="16"/>
        <v>男</v>
      </c>
      <c r="D134" s="17" t="s">
        <v>47</v>
      </c>
      <c r="E134" s="20" t="s">
        <v>18</v>
      </c>
      <c r="F134" s="20" t="s">
        <v>18</v>
      </c>
      <c r="G134" s="20" t="s">
        <v>18</v>
      </c>
      <c r="H134" s="20"/>
      <c r="I134" s="20" t="s">
        <v>18</v>
      </c>
      <c r="J134" s="20"/>
      <c r="K134" s="19" t="s">
        <v>18</v>
      </c>
      <c r="L134" s="19"/>
      <c r="M134" s="19"/>
    </row>
    <row r="135" ht="30" customHeight="1" spans="1:13">
      <c r="A135" s="15">
        <v>47</v>
      </c>
      <c r="B135" s="16" t="str">
        <f>"刘泽群"</f>
        <v>刘泽群</v>
      </c>
      <c r="C135" s="16" t="str">
        <f t="shared" si="16"/>
        <v>男</v>
      </c>
      <c r="D135" s="17" t="s">
        <v>47</v>
      </c>
      <c r="E135" s="20" t="s">
        <v>18</v>
      </c>
      <c r="F135" s="20" t="s">
        <v>18</v>
      </c>
      <c r="G135" s="20" t="s">
        <v>18</v>
      </c>
      <c r="H135" s="20"/>
      <c r="I135" s="20" t="s">
        <v>18</v>
      </c>
      <c r="J135" s="20"/>
      <c r="K135" s="19" t="s">
        <v>18</v>
      </c>
      <c r="L135" s="19"/>
      <c r="M135" s="19"/>
    </row>
    <row r="136" ht="30" customHeight="1" spans="1:13">
      <c r="A136" s="15">
        <v>48</v>
      </c>
      <c r="B136" s="16" t="str">
        <f>"王思源"</f>
        <v>王思源</v>
      </c>
      <c r="C136" s="16" t="str">
        <f t="shared" si="16"/>
        <v>男</v>
      </c>
      <c r="D136" s="17" t="s">
        <v>47</v>
      </c>
      <c r="E136" s="20" t="s">
        <v>18</v>
      </c>
      <c r="F136" s="20" t="s">
        <v>18</v>
      </c>
      <c r="G136" s="20" t="s">
        <v>18</v>
      </c>
      <c r="H136" s="20"/>
      <c r="I136" s="20" t="s">
        <v>18</v>
      </c>
      <c r="J136" s="20"/>
      <c r="K136" s="19" t="s">
        <v>18</v>
      </c>
      <c r="L136" s="19"/>
      <c r="M136" s="19"/>
    </row>
    <row r="137" ht="30" customHeight="1" spans="1:13">
      <c r="A137" s="15">
        <v>49</v>
      </c>
      <c r="B137" s="16" t="str">
        <f>"刘铁都"</f>
        <v>刘铁都</v>
      </c>
      <c r="C137" s="16" t="str">
        <f t="shared" si="16"/>
        <v>男</v>
      </c>
      <c r="D137" s="17" t="s">
        <v>47</v>
      </c>
      <c r="E137" s="20" t="s">
        <v>18</v>
      </c>
      <c r="F137" s="20" t="s">
        <v>18</v>
      </c>
      <c r="G137" s="20" t="s">
        <v>18</v>
      </c>
      <c r="H137" s="20"/>
      <c r="I137" s="20" t="s">
        <v>18</v>
      </c>
      <c r="J137" s="20"/>
      <c r="K137" s="19" t="s">
        <v>18</v>
      </c>
      <c r="L137" s="19"/>
      <c r="M137" s="19"/>
    </row>
    <row r="138" ht="30" customHeight="1" spans="1:13">
      <c r="A138" s="15">
        <v>50</v>
      </c>
      <c r="B138" s="16" t="str">
        <f>"黄辉煌"</f>
        <v>黄辉煌</v>
      </c>
      <c r="C138" s="16" t="str">
        <f t="shared" si="16"/>
        <v>男</v>
      </c>
      <c r="D138" s="17" t="s">
        <v>47</v>
      </c>
      <c r="E138" s="20" t="s">
        <v>18</v>
      </c>
      <c r="F138" s="20" t="s">
        <v>18</v>
      </c>
      <c r="G138" s="20" t="s">
        <v>18</v>
      </c>
      <c r="H138" s="20"/>
      <c r="I138" s="20" t="s">
        <v>18</v>
      </c>
      <c r="J138" s="20"/>
      <c r="K138" s="19" t="s">
        <v>18</v>
      </c>
      <c r="L138" s="19"/>
      <c r="M138" s="19"/>
    </row>
    <row r="139" ht="30" customHeight="1" spans="1:13">
      <c r="A139" s="15">
        <v>51</v>
      </c>
      <c r="B139" s="16" t="str">
        <f>"曾勇"</f>
        <v>曾勇</v>
      </c>
      <c r="C139" s="16" t="str">
        <f t="shared" si="16"/>
        <v>男</v>
      </c>
      <c r="D139" s="17" t="s">
        <v>47</v>
      </c>
      <c r="E139" s="20" t="s">
        <v>18</v>
      </c>
      <c r="F139" s="20" t="s">
        <v>18</v>
      </c>
      <c r="G139" s="20" t="s">
        <v>18</v>
      </c>
      <c r="H139" s="20"/>
      <c r="I139" s="20" t="s">
        <v>18</v>
      </c>
      <c r="J139" s="20"/>
      <c r="K139" s="19" t="s">
        <v>18</v>
      </c>
      <c r="L139" s="19"/>
      <c r="M139" s="19"/>
    </row>
    <row r="140" ht="30" customHeight="1" spans="1:13">
      <c r="A140" s="15">
        <v>52</v>
      </c>
      <c r="B140" s="16" t="str">
        <f>"张晓波"</f>
        <v>张晓波</v>
      </c>
      <c r="C140" s="16" t="str">
        <f t="shared" si="16"/>
        <v>男</v>
      </c>
      <c r="D140" s="17" t="s">
        <v>47</v>
      </c>
      <c r="E140" s="20" t="s">
        <v>18</v>
      </c>
      <c r="F140" s="20" t="s">
        <v>18</v>
      </c>
      <c r="G140" s="20" t="s">
        <v>18</v>
      </c>
      <c r="H140" s="20"/>
      <c r="I140" s="20" t="s">
        <v>18</v>
      </c>
      <c r="J140" s="20"/>
      <c r="K140" s="19" t="s">
        <v>18</v>
      </c>
      <c r="L140" s="19"/>
      <c r="M140" s="19"/>
    </row>
    <row r="141" ht="30" customHeight="1" spans="1:13">
      <c r="A141" s="15">
        <v>53</v>
      </c>
      <c r="B141" s="16" t="str">
        <f>"贺容容"</f>
        <v>贺容容</v>
      </c>
      <c r="C141" s="16" t="str">
        <f>"女"</f>
        <v>女</v>
      </c>
      <c r="D141" s="17" t="s">
        <v>47</v>
      </c>
      <c r="E141" s="20" t="s">
        <v>18</v>
      </c>
      <c r="F141" s="20" t="s">
        <v>18</v>
      </c>
      <c r="G141" s="20" t="s">
        <v>18</v>
      </c>
      <c r="H141" s="20"/>
      <c r="I141" s="20" t="s">
        <v>18</v>
      </c>
      <c r="J141" s="20"/>
      <c r="K141" s="19" t="s">
        <v>18</v>
      </c>
      <c r="L141" s="19"/>
      <c r="M141" s="19"/>
    </row>
    <row r="142" ht="30" customHeight="1" spans="1:13">
      <c r="A142" s="15">
        <v>54</v>
      </c>
      <c r="B142" s="16" t="str">
        <f>"蔡娟"</f>
        <v>蔡娟</v>
      </c>
      <c r="C142" s="16" t="str">
        <f>"女"</f>
        <v>女</v>
      </c>
      <c r="D142" s="17" t="s">
        <v>47</v>
      </c>
      <c r="E142" s="20" t="s">
        <v>18</v>
      </c>
      <c r="F142" s="20" t="s">
        <v>18</v>
      </c>
      <c r="G142" s="20" t="s">
        <v>18</v>
      </c>
      <c r="H142" s="20"/>
      <c r="I142" s="20" t="s">
        <v>18</v>
      </c>
      <c r="J142" s="20"/>
      <c r="K142" s="19" t="s">
        <v>18</v>
      </c>
      <c r="L142" s="19"/>
      <c r="M142" s="19"/>
    </row>
    <row r="143" ht="30" customHeight="1" spans="1:13">
      <c r="A143" s="15">
        <v>55</v>
      </c>
      <c r="B143" s="16" t="str">
        <f>"陈柯伟"</f>
        <v>陈柯伟</v>
      </c>
      <c r="C143" s="16" t="str">
        <f>"男"</f>
        <v>男</v>
      </c>
      <c r="D143" s="17" t="s">
        <v>47</v>
      </c>
      <c r="E143" s="20" t="s">
        <v>18</v>
      </c>
      <c r="F143" s="20" t="s">
        <v>18</v>
      </c>
      <c r="G143" s="20" t="s">
        <v>18</v>
      </c>
      <c r="H143" s="20"/>
      <c r="I143" s="20" t="s">
        <v>18</v>
      </c>
      <c r="J143" s="20"/>
      <c r="K143" s="19" t="s">
        <v>18</v>
      </c>
      <c r="L143" s="19"/>
      <c r="M143" s="19"/>
    </row>
    <row r="144" ht="30" customHeight="1" spans="1:13">
      <c r="A144" s="15">
        <v>56</v>
      </c>
      <c r="B144" s="16" t="str">
        <f>"罗锦"</f>
        <v>罗锦</v>
      </c>
      <c r="C144" s="16" t="str">
        <f>"男"</f>
        <v>男</v>
      </c>
      <c r="D144" s="17" t="s">
        <v>48</v>
      </c>
      <c r="E144" s="18">
        <v>81.2</v>
      </c>
      <c r="F144" s="18">
        <f>E144*0.4</f>
        <v>32.48</v>
      </c>
      <c r="G144" s="19">
        <v>84</v>
      </c>
      <c r="H144" s="19"/>
      <c r="I144" s="19">
        <f>G144*0.6</f>
        <v>50.4</v>
      </c>
      <c r="J144" s="19"/>
      <c r="K144" s="19">
        <f>F144+I144</f>
        <v>82.88</v>
      </c>
      <c r="L144" s="20">
        <v>1</v>
      </c>
      <c r="M144" s="19"/>
    </row>
    <row r="145" ht="30" customHeight="1" spans="1:13">
      <c r="A145" s="15">
        <v>57</v>
      </c>
      <c r="B145" s="16" t="str">
        <f>"游小夫"</f>
        <v>游小夫</v>
      </c>
      <c r="C145" s="16" t="str">
        <f>"男"</f>
        <v>男</v>
      </c>
      <c r="D145" s="17" t="s">
        <v>48</v>
      </c>
      <c r="E145" s="20" t="s">
        <v>18</v>
      </c>
      <c r="F145" s="20" t="s">
        <v>18</v>
      </c>
      <c r="G145" s="20" t="s">
        <v>18</v>
      </c>
      <c r="H145" s="20"/>
      <c r="I145" s="20" t="s">
        <v>18</v>
      </c>
      <c r="J145" s="20"/>
      <c r="K145" s="19" t="s">
        <v>18</v>
      </c>
      <c r="L145" s="19"/>
      <c r="M145" s="19"/>
    </row>
    <row r="146" ht="30" customHeight="1" spans="1:13">
      <c r="A146" s="15">
        <v>58</v>
      </c>
      <c r="B146" s="16" t="str">
        <f>"邹铸辉"</f>
        <v>邹铸辉</v>
      </c>
      <c r="C146" s="16" t="str">
        <f>"男"</f>
        <v>男</v>
      </c>
      <c r="D146" s="17" t="s">
        <v>48</v>
      </c>
      <c r="E146" s="20" t="s">
        <v>18</v>
      </c>
      <c r="F146" s="20" t="s">
        <v>18</v>
      </c>
      <c r="G146" s="20" t="s">
        <v>18</v>
      </c>
      <c r="H146" s="20"/>
      <c r="I146" s="20" t="s">
        <v>18</v>
      </c>
      <c r="J146" s="20"/>
      <c r="K146" s="19" t="s">
        <v>18</v>
      </c>
      <c r="L146" s="19"/>
      <c r="M146" s="19"/>
    </row>
    <row r="147" ht="30" customHeight="1" spans="1:13">
      <c r="A147" s="15">
        <v>59</v>
      </c>
      <c r="B147" s="16" t="str">
        <f>"李菲"</f>
        <v>李菲</v>
      </c>
      <c r="C147" s="16" t="str">
        <f>"女"</f>
        <v>女</v>
      </c>
      <c r="D147" s="17" t="s">
        <v>48</v>
      </c>
      <c r="E147" s="20" t="s">
        <v>18</v>
      </c>
      <c r="F147" s="20" t="s">
        <v>18</v>
      </c>
      <c r="G147" s="20" t="s">
        <v>18</v>
      </c>
      <c r="H147" s="20"/>
      <c r="I147" s="20" t="s">
        <v>18</v>
      </c>
      <c r="J147" s="20"/>
      <c r="K147" s="19" t="s">
        <v>18</v>
      </c>
      <c r="L147" s="19"/>
      <c r="M147" s="19"/>
    </row>
    <row r="148" ht="30" customHeight="1" spans="1:13">
      <c r="A148" s="9" t="s">
        <v>2</v>
      </c>
      <c r="B148" s="9" t="s">
        <v>3</v>
      </c>
      <c r="C148" s="9" t="s">
        <v>4</v>
      </c>
      <c r="D148" s="9" t="s">
        <v>24</v>
      </c>
      <c r="E148" s="9" t="s">
        <v>25</v>
      </c>
      <c r="F148" s="10" t="s">
        <v>7</v>
      </c>
      <c r="G148" s="10" t="s">
        <v>8</v>
      </c>
      <c r="H148" s="10"/>
      <c r="I148" s="10"/>
      <c r="J148" s="10"/>
      <c r="K148" s="10" t="s">
        <v>9</v>
      </c>
      <c r="L148" s="9" t="s">
        <v>10</v>
      </c>
      <c r="M148" s="10" t="s">
        <v>11</v>
      </c>
    </row>
    <row r="149" ht="30" customHeight="1" spans="1:13">
      <c r="A149" s="9"/>
      <c r="B149" s="9"/>
      <c r="C149" s="9"/>
      <c r="D149" s="9"/>
      <c r="E149" s="9"/>
      <c r="F149" s="10"/>
      <c r="G149" s="10" t="s">
        <v>26</v>
      </c>
      <c r="H149" s="10"/>
      <c r="I149" s="10" t="s">
        <v>27</v>
      </c>
      <c r="J149" s="10"/>
      <c r="K149" s="10"/>
      <c r="L149" s="9"/>
      <c r="M149" s="10"/>
    </row>
    <row r="150" ht="30" customHeight="1" spans="1:13">
      <c r="A150" s="15">
        <v>60</v>
      </c>
      <c r="B150" s="16" t="str">
        <f>"肖卓"</f>
        <v>肖卓</v>
      </c>
      <c r="C150" s="16" t="str">
        <f>"男"</f>
        <v>男</v>
      </c>
      <c r="D150" s="17" t="s">
        <v>48</v>
      </c>
      <c r="E150" s="20" t="s">
        <v>18</v>
      </c>
      <c r="F150" s="20" t="s">
        <v>18</v>
      </c>
      <c r="G150" s="20" t="s">
        <v>18</v>
      </c>
      <c r="H150" s="20"/>
      <c r="I150" s="20" t="s">
        <v>18</v>
      </c>
      <c r="J150" s="20"/>
      <c r="K150" s="19" t="s">
        <v>18</v>
      </c>
      <c r="L150" s="19"/>
      <c r="M150" s="19"/>
    </row>
    <row r="151" ht="30" customHeight="1" spans="1:13">
      <c r="A151" s="15">
        <v>61</v>
      </c>
      <c r="B151" s="16" t="str">
        <f>"邓腾"</f>
        <v>邓腾</v>
      </c>
      <c r="C151" s="16" t="str">
        <f>"男"</f>
        <v>男</v>
      </c>
      <c r="D151" s="17" t="s">
        <v>48</v>
      </c>
      <c r="E151" s="20" t="s">
        <v>18</v>
      </c>
      <c r="F151" s="20" t="s">
        <v>18</v>
      </c>
      <c r="G151" s="20" t="s">
        <v>18</v>
      </c>
      <c r="H151" s="20"/>
      <c r="I151" s="20" t="s">
        <v>18</v>
      </c>
      <c r="J151" s="20"/>
      <c r="K151" s="19" t="s">
        <v>18</v>
      </c>
      <c r="L151" s="19"/>
      <c r="M151" s="19"/>
    </row>
    <row r="152" ht="30" customHeight="1" spans="1:13">
      <c r="A152" s="15">
        <v>62</v>
      </c>
      <c r="B152" s="16" t="str">
        <f>"邹黄海"</f>
        <v>邹黄海</v>
      </c>
      <c r="C152" s="16" t="str">
        <f>"男"</f>
        <v>男</v>
      </c>
      <c r="D152" s="15" t="s">
        <v>49</v>
      </c>
      <c r="E152" s="18">
        <v>81.8</v>
      </c>
      <c r="F152" s="18">
        <f>E152*0.4</f>
        <v>32.72</v>
      </c>
      <c r="G152" s="19">
        <v>60.6</v>
      </c>
      <c r="H152" s="19"/>
      <c r="I152" s="19">
        <f>G152*0.6</f>
        <v>36.36</v>
      </c>
      <c r="J152" s="19"/>
      <c r="K152" s="19">
        <f>F152+I152</f>
        <v>69.08</v>
      </c>
      <c r="L152" s="20">
        <v>1</v>
      </c>
      <c r="M152" s="19"/>
    </row>
    <row r="153" ht="30" customHeight="1" spans="1:13">
      <c r="A153" s="15">
        <v>63</v>
      </c>
      <c r="B153" s="16" t="str">
        <f>"戴陨邑"</f>
        <v>戴陨邑</v>
      </c>
      <c r="C153" s="16" t="str">
        <f>"男"</f>
        <v>男</v>
      </c>
      <c r="D153" s="15" t="s">
        <v>49</v>
      </c>
      <c r="E153" s="18">
        <v>69</v>
      </c>
      <c r="F153" s="18">
        <f>E153*0.4</f>
        <v>27.6</v>
      </c>
      <c r="G153" s="19">
        <v>51.33</v>
      </c>
      <c r="H153" s="19"/>
      <c r="I153" s="19">
        <f>G153*0.6</f>
        <v>30.798</v>
      </c>
      <c r="J153" s="19"/>
      <c r="K153" s="19">
        <f>F153+I153</f>
        <v>58.398</v>
      </c>
      <c r="L153" s="20">
        <v>2</v>
      </c>
      <c r="M153" s="19"/>
    </row>
    <row r="154" ht="30" customHeight="1" spans="1:13">
      <c r="A154" s="15">
        <v>64</v>
      </c>
      <c r="B154" s="16" t="str">
        <f>"扶鑫波"</f>
        <v>扶鑫波</v>
      </c>
      <c r="C154" s="16" t="str">
        <f>"男"</f>
        <v>男</v>
      </c>
      <c r="D154" s="15" t="s">
        <v>49</v>
      </c>
      <c r="E154" s="18">
        <v>88.4</v>
      </c>
      <c r="F154" s="18">
        <f>E154*0.4</f>
        <v>35.36</v>
      </c>
      <c r="G154" s="19">
        <v>7.8</v>
      </c>
      <c r="H154" s="19"/>
      <c r="I154" s="19">
        <f>G154*0.6</f>
        <v>4.68</v>
      </c>
      <c r="J154" s="19"/>
      <c r="K154" s="19">
        <f>F154+I154</f>
        <v>40.04</v>
      </c>
      <c r="L154" s="20">
        <v>3</v>
      </c>
      <c r="M154" s="19"/>
    </row>
    <row r="155" ht="30" customHeight="1" spans="1:13">
      <c r="A155" s="15">
        <v>65</v>
      </c>
      <c r="B155" s="16" t="str">
        <f>"孙鹏"</f>
        <v>孙鹏</v>
      </c>
      <c r="C155" s="16" t="str">
        <f t="shared" ref="C155:C161" si="17">"男"</f>
        <v>男</v>
      </c>
      <c r="D155" s="15" t="s">
        <v>49</v>
      </c>
      <c r="E155" s="20" t="s">
        <v>18</v>
      </c>
      <c r="F155" s="20" t="s">
        <v>18</v>
      </c>
      <c r="G155" s="20" t="s">
        <v>18</v>
      </c>
      <c r="H155" s="20"/>
      <c r="I155" s="20" t="s">
        <v>18</v>
      </c>
      <c r="J155" s="20"/>
      <c r="K155" s="19" t="s">
        <v>18</v>
      </c>
      <c r="L155" s="19"/>
      <c r="M155" s="19"/>
    </row>
    <row r="156" ht="30" customHeight="1" spans="1:13">
      <c r="A156" s="15">
        <v>66</v>
      </c>
      <c r="B156" s="16" t="str">
        <f>"刘志萌"</f>
        <v>刘志萌</v>
      </c>
      <c r="C156" s="16" t="str">
        <f t="shared" si="17"/>
        <v>男</v>
      </c>
      <c r="D156" s="15" t="s">
        <v>49</v>
      </c>
      <c r="E156" s="20" t="s">
        <v>18</v>
      </c>
      <c r="F156" s="20" t="s">
        <v>18</v>
      </c>
      <c r="G156" s="20" t="s">
        <v>18</v>
      </c>
      <c r="H156" s="20"/>
      <c r="I156" s="20" t="s">
        <v>18</v>
      </c>
      <c r="J156" s="20"/>
      <c r="K156" s="19" t="s">
        <v>18</v>
      </c>
      <c r="L156" s="19"/>
      <c r="M156" s="19"/>
    </row>
    <row r="157" ht="30" customHeight="1" spans="1:13">
      <c r="A157" s="15">
        <v>67</v>
      </c>
      <c r="B157" s="16" t="str">
        <f>"李连胜"</f>
        <v>李连胜</v>
      </c>
      <c r="C157" s="16" t="str">
        <f t="shared" si="17"/>
        <v>男</v>
      </c>
      <c r="D157" s="15" t="s">
        <v>49</v>
      </c>
      <c r="E157" s="20" t="s">
        <v>18</v>
      </c>
      <c r="F157" s="20" t="s">
        <v>18</v>
      </c>
      <c r="G157" s="20" t="s">
        <v>18</v>
      </c>
      <c r="H157" s="20"/>
      <c r="I157" s="20" t="s">
        <v>18</v>
      </c>
      <c r="J157" s="20"/>
      <c r="K157" s="19" t="s">
        <v>18</v>
      </c>
      <c r="L157" s="19"/>
      <c r="M157" s="19"/>
    </row>
    <row r="158" ht="30" customHeight="1" spans="1:13">
      <c r="A158" s="15">
        <v>68</v>
      </c>
      <c r="B158" s="16" t="str">
        <f>"喻子敬"</f>
        <v>喻子敬</v>
      </c>
      <c r="C158" s="16" t="str">
        <f t="shared" si="17"/>
        <v>男</v>
      </c>
      <c r="D158" s="15" t="s">
        <v>49</v>
      </c>
      <c r="E158" s="20" t="s">
        <v>18</v>
      </c>
      <c r="F158" s="20" t="s">
        <v>18</v>
      </c>
      <c r="G158" s="20" t="s">
        <v>18</v>
      </c>
      <c r="H158" s="20"/>
      <c r="I158" s="20" t="s">
        <v>18</v>
      </c>
      <c r="J158" s="20"/>
      <c r="K158" s="19" t="s">
        <v>18</v>
      </c>
      <c r="L158" s="19"/>
      <c r="M158" s="19"/>
    </row>
    <row r="159" ht="30" customHeight="1" spans="1:13">
      <c r="A159" s="15">
        <v>69</v>
      </c>
      <c r="B159" s="16" t="str">
        <f>"谢彪斌"</f>
        <v>谢彪斌</v>
      </c>
      <c r="C159" s="16" t="str">
        <f t="shared" si="17"/>
        <v>男</v>
      </c>
      <c r="D159" s="15" t="s">
        <v>49</v>
      </c>
      <c r="E159" s="20" t="s">
        <v>18</v>
      </c>
      <c r="F159" s="20" t="s">
        <v>18</v>
      </c>
      <c r="G159" s="20" t="s">
        <v>18</v>
      </c>
      <c r="H159" s="20"/>
      <c r="I159" s="20" t="s">
        <v>18</v>
      </c>
      <c r="J159" s="20"/>
      <c r="K159" s="19" t="s">
        <v>18</v>
      </c>
      <c r="L159" s="19"/>
      <c r="M159" s="19"/>
    </row>
    <row r="160" ht="30" customHeight="1" spans="1:13">
      <c r="A160" s="15">
        <v>70</v>
      </c>
      <c r="B160" s="16" t="str">
        <f>"舒思清"</f>
        <v>舒思清</v>
      </c>
      <c r="C160" s="16" t="str">
        <f t="shared" si="17"/>
        <v>男</v>
      </c>
      <c r="D160" s="15" t="s">
        <v>49</v>
      </c>
      <c r="E160" s="20" t="s">
        <v>18</v>
      </c>
      <c r="F160" s="20" t="s">
        <v>18</v>
      </c>
      <c r="G160" s="20" t="s">
        <v>18</v>
      </c>
      <c r="H160" s="20"/>
      <c r="I160" s="20" t="s">
        <v>18</v>
      </c>
      <c r="J160" s="20"/>
      <c r="K160" s="19" t="s">
        <v>18</v>
      </c>
      <c r="L160" s="19"/>
      <c r="M160" s="19"/>
    </row>
    <row r="161" ht="30" customHeight="1" spans="1:13">
      <c r="A161" s="15">
        <v>71</v>
      </c>
      <c r="B161" s="16" t="str">
        <f>"谢求彬"</f>
        <v>谢求彬</v>
      </c>
      <c r="C161" s="16" t="str">
        <f t="shared" si="17"/>
        <v>男</v>
      </c>
      <c r="D161" s="15" t="s">
        <v>49</v>
      </c>
      <c r="E161" s="20" t="s">
        <v>18</v>
      </c>
      <c r="F161" s="20" t="s">
        <v>18</v>
      </c>
      <c r="G161" s="20" t="s">
        <v>18</v>
      </c>
      <c r="H161" s="20"/>
      <c r="I161" s="20" t="s">
        <v>18</v>
      </c>
      <c r="J161" s="20"/>
      <c r="K161" s="19" t="s">
        <v>18</v>
      </c>
      <c r="L161" s="19"/>
      <c r="M161" s="19"/>
    </row>
    <row r="162" ht="30" customHeight="1" spans="1:13">
      <c r="A162" s="15">
        <v>72</v>
      </c>
      <c r="B162" s="16" t="str">
        <f>"陈宏英"</f>
        <v>陈宏英</v>
      </c>
      <c r="C162" s="16" t="str">
        <f t="shared" ref="C162:C172" si="18">"女"</f>
        <v>女</v>
      </c>
      <c r="D162" s="15" t="s">
        <v>49</v>
      </c>
      <c r="E162" s="20" t="s">
        <v>18</v>
      </c>
      <c r="F162" s="20" t="s">
        <v>18</v>
      </c>
      <c r="G162" s="20" t="s">
        <v>18</v>
      </c>
      <c r="H162" s="20"/>
      <c r="I162" s="20" t="s">
        <v>18</v>
      </c>
      <c r="J162" s="20"/>
      <c r="K162" s="19" t="s">
        <v>18</v>
      </c>
      <c r="L162" s="19"/>
      <c r="M162" s="19"/>
    </row>
    <row r="163" ht="37" customHeight="1" spans="1:13">
      <c r="A163" s="7" t="s">
        <v>50</v>
      </c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</row>
    <row r="164" ht="30" customHeight="1" spans="1:13">
      <c r="A164" s="9" t="s">
        <v>2</v>
      </c>
      <c r="B164" s="9" t="s">
        <v>3</v>
      </c>
      <c r="C164" s="9" t="s">
        <v>4</v>
      </c>
      <c r="D164" s="9" t="s">
        <v>5</v>
      </c>
      <c r="E164" s="9" t="s">
        <v>25</v>
      </c>
      <c r="F164" s="10" t="s">
        <v>7</v>
      </c>
      <c r="G164" s="10" t="s">
        <v>8</v>
      </c>
      <c r="H164" s="10"/>
      <c r="I164" s="10"/>
      <c r="J164" s="10"/>
      <c r="K164" s="10" t="s">
        <v>9</v>
      </c>
      <c r="L164" s="9" t="s">
        <v>10</v>
      </c>
      <c r="M164" s="26" t="s">
        <v>11</v>
      </c>
    </row>
    <row r="165" ht="30" customHeight="1" spans="1:13">
      <c r="A165" s="9"/>
      <c r="B165" s="9"/>
      <c r="C165" s="9"/>
      <c r="D165" s="9"/>
      <c r="E165" s="9"/>
      <c r="F165" s="10"/>
      <c r="G165" s="10" t="s">
        <v>51</v>
      </c>
      <c r="H165" s="10"/>
      <c r="I165" s="10" t="s">
        <v>52</v>
      </c>
      <c r="J165" s="10"/>
      <c r="K165" s="10"/>
      <c r="L165" s="9"/>
      <c r="M165" s="26"/>
    </row>
    <row r="166" ht="33" customHeight="1" spans="1:13">
      <c r="A166" s="15">
        <v>1</v>
      </c>
      <c r="B166" s="16" t="str">
        <f>"黎倩"</f>
        <v>黎倩</v>
      </c>
      <c r="C166" s="16" t="str">
        <f t="shared" ref="C166:C178" si="19">"女"</f>
        <v>女</v>
      </c>
      <c r="D166" s="16" t="s">
        <v>53</v>
      </c>
      <c r="E166" s="19">
        <v>89.2</v>
      </c>
      <c r="F166" s="19">
        <f t="shared" ref="F166:F178" si="20">E166*0.4</f>
        <v>35.68</v>
      </c>
      <c r="G166" s="19">
        <v>86.6</v>
      </c>
      <c r="H166" s="19"/>
      <c r="I166" s="19">
        <f t="shared" ref="I166:I178" si="21">G166*0.6</f>
        <v>51.96</v>
      </c>
      <c r="J166" s="19"/>
      <c r="K166" s="19">
        <f t="shared" ref="K166:K178" si="22">F166+I166</f>
        <v>87.64</v>
      </c>
      <c r="L166" s="20">
        <v>1</v>
      </c>
      <c r="M166" s="19"/>
    </row>
    <row r="167" ht="33" customHeight="1" spans="1:13">
      <c r="A167" s="15">
        <v>2</v>
      </c>
      <c r="B167" s="16" t="str">
        <f>"曹仕琳"</f>
        <v>曹仕琳</v>
      </c>
      <c r="C167" s="16" t="str">
        <f t="shared" si="19"/>
        <v>女</v>
      </c>
      <c r="D167" s="16" t="s">
        <v>53</v>
      </c>
      <c r="E167" s="19">
        <v>79.2</v>
      </c>
      <c r="F167" s="19">
        <f t="shared" si="20"/>
        <v>31.68</v>
      </c>
      <c r="G167" s="19">
        <v>91.36</v>
      </c>
      <c r="H167" s="19"/>
      <c r="I167" s="19">
        <f t="shared" si="21"/>
        <v>54.816</v>
      </c>
      <c r="J167" s="19"/>
      <c r="K167" s="19">
        <f t="shared" si="22"/>
        <v>86.496</v>
      </c>
      <c r="L167" s="20">
        <v>2</v>
      </c>
      <c r="M167" s="19"/>
    </row>
    <row r="168" ht="33" customHeight="1" spans="1:13">
      <c r="A168" s="15">
        <v>3</v>
      </c>
      <c r="B168" s="16" t="str">
        <f>"刘璐"</f>
        <v>刘璐</v>
      </c>
      <c r="C168" s="16" t="str">
        <f t="shared" si="19"/>
        <v>女</v>
      </c>
      <c r="D168" s="16" t="s">
        <v>53</v>
      </c>
      <c r="E168" s="19">
        <v>81.7</v>
      </c>
      <c r="F168" s="19">
        <f t="shared" si="20"/>
        <v>32.68</v>
      </c>
      <c r="G168" s="19">
        <v>89.5</v>
      </c>
      <c r="H168" s="19"/>
      <c r="I168" s="19">
        <f t="shared" si="21"/>
        <v>53.7</v>
      </c>
      <c r="J168" s="19"/>
      <c r="K168" s="19">
        <f t="shared" si="22"/>
        <v>86.38</v>
      </c>
      <c r="L168" s="20">
        <v>3</v>
      </c>
      <c r="M168" s="19"/>
    </row>
    <row r="169" ht="33" customHeight="1" spans="1:13">
      <c r="A169" s="15">
        <v>4</v>
      </c>
      <c r="B169" s="16" t="str">
        <f>"袁园"</f>
        <v>袁园</v>
      </c>
      <c r="C169" s="16" t="str">
        <f t="shared" si="19"/>
        <v>女</v>
      </c>
      <c r="D169" s="16" t="s">
        <v>53</v>
      </c>
      <c r="E169" s="19">
        <v>81.4</v>
      </c>
      <c r="F169" s="19">
        <f t="shared" si="20"/>
        <v>32.56</v>
      </c>
      <c r="G169" s="19">
        <v>88.32</v>
      </c>
      <c r="H169" s="19"/>
      <c r="I169" s="19">
        <f t="shared" si="21"/>
        <v>52.992</v>
      </c>
      <c r="J169" s="19"/>
      <c r="K169" s="19">
        <f t="shared" si="22"/>
        <v>85.552</v>
      </c>
      <c r="L169" s="20">
        <v>4</v>
      </c>
      <c r="M169" s="19"/>
    </row>
    <row r="170" ht="33" customHeight="1" spans="1:13">
      <c r="A170" s="15">
        <v>5</v>
      </c>
      <c r="B170" s="16" t="str">
        <f>"李涛"</f>
        <v>李涛</v>
      </c>
      <c r="C170" s="16" t="str">
        <f t="shared" si="19"/>
        <v>女</v>
      </c>
      <c r="D170" s="16" t="s">
        <v>53</v>
      </c>
      <c r="E170" s="19">
        <v>84.4</v>
      </c>
      <c r="F170" s="19">
        <f t="shared" si="20"/>
        <v>33.76</v>
      </c>
      <c r="G170" s="19">
        <v>86.26</v>
      </c>
      <c r="H170" s="19"/>
      <c r="I170" s="19">
        <f t="shared" si="21"/>
        <v>51.756</v>
      </c>
      <c r="J170" s="19"/>
      <c r="K170" s="19">
        <f t="shared" si="22"/>
        <v>85.516</v>
      </c>
      <c r="L170" s="20">
        <v>5</v>
      </c>
      <c r="M170" s="19"/>
    </row>
    <row r="171" ht="33" customHeight="1" spans="1:13">
      <c r="A171" s="15">
        <v>6</v>
      </c>
      <c r="B171" s="16" t="str">
        <f>"丁晶"</f>
        <v>丁晶</v>
      </c>
      <c r="C171" s="16" t="str">
        <f t="shared" si="19"/>
        <v>女</v>
      </c>
      <c r="D171" s="16" t="s">
        <v>53</v>
      </c>
      <c r="E171" s="19">
        <v>79.5</v>
      </c>
      <c r="F171" s="19">
        <f t="shared" si="20"/>
        <v>31.8</v>
      </c>
      <c r="G171" s="19">
        <v>89.24</v>
      </c>
      <c r="H171" s="19"/>
      <c r="I171" s="19">
        <f t="shared" si="21"/>
        <v>53.544</v>
      </c>
      <c r="J171" s="19"/>
      <c r="K171" s="19">
        <f t="shared" si="22"/>
        <v>85.344</v>
      </c>
      <c r="L171" s="20">
        <v>6</v>
      </c>
      <c r="M171" s="19"/>
    </row>
    <row r="172" ht="33" customHeight="1" spans="1:13">
      <c r="A172" s="15">
        <v>7</v>
      </c>
      <c r="B172" s="16" t="str">
        <f>"黄珊"</f>
        <v>黄珊</v>
      </c>
      <c r="C172" s="16" t="str">
        <f t="shared" si="19"/>
        <v>女</v>
      </c>
      <c r="D172" s="16" t="s">
        <v>53</v>
      </c>
      <c r="E172" s="19">
        <v>82.2</v>
      </c>
      <c r="F172" s="19">
        <f t="shared" si="20"/>
        <v>32.88</v>
      </c>
      <c r="G172" s="19">
        <v>87.02</v>
      </c>
      <c r="H172" s="19"/>
      <c r="I172" s="19">
        <f t="shared" si="21"/>
        <v>52.212</v>
      </c>
      <c r="J172" s="19"/>
      <c r="K172" s="19">
        <f t="shared" si="22"/>
        <v>85.092</v>
      </c>
      <c r="L172" s="20">
        <v>7</v>
      </c>
      <c r="M172" s="19"/>
    </row>
    <row r="173" ht="33" customHeight="1" spans="1:13">
      <c r="A173" s="15">
        <v>8</v>
      </c>
      <c r="B173" s="16" t="str">
        <f>"陈梦园"</f>
        <v>陈梦园</v>
      </c>
      <c r="C173" s="16" t="str">
        <f t="shared" si="19"/>
        <v>女</v>
      </c>
      <c r="D173" s="16" t="s">
        <v>53</v>
      </c>
      <c r="E173" s="19">
        <v>85</v>
      </c>
      <c r="F173" s="19">
        <f t="shared" si="20"/>
        <v>34</v>
      </c>
      <c r="G173" s="19">
        <v>85.12</v>
      </c>
      <c r="H173" s="19"/>
      <c r="I173" s="19">
        <f t="shared" si="21"/>
        <v>51.072</v>
      </c>
      <c r="J173" s="19"/>
      <c r="K173" s="19">
        <f t="shared" si="22"/>
        <v>85.072</v>
      </c>
      <c r="L173" s="20">
        <v>8</v>
      </c>
      <c r="M173" s="19"/>
    </row>
    <row r="174" ht="33" customHeight="1" spans="1:13">
      <c r="A174" s="15">
        <v>9</v>
      </c>
      <c r="B174" s="16" t="str">
        <f>"王彤"</f>
        <v>王彤</v>
      </c>
      <c r="C174" s="16" t="str">
        <f t="shared" si="19"/>
        <v>女</v>
      </c>
      <c r="D174" s="16" t="s">
        <v>53</v>
      </c>
      <c r="E174" s="19">
        <v>78.4</v>
      </c>
      <c r="F174" s="19">
        <f t="shared" si="20"/>
        <v>31.36</v>
      </c>
      <c r="G174" s="19">
        <v>88.54</v>
      </c>
      <c r="H174" s="19"/>
      <c r="I174" s="19">
        <f t="shared" si="21"/>
        <v>53.124</v>
      </c>
      <c r="J174" s="19"/>
      <c r="K174" s="19">
        <f t="shared" si="22"/>
        <v>84.484</v>
      </c>
      <c r="L174" s="20">
        <v>9</v>
      </c>
      <c r="M174" s="19"/>
    </row>
    <row r="175" ht="33" customHeight="1" spans="1:13">
      <c r="A175" s="15">
        <v>10</v>
      </c>
      <c r="B175" s="16" t="str">
        <f>"石雪"</f>
        <v>石雪</v>
      </c>
      <c r="C175" s="16" t="str">
        <f t="shared" si="19"/>
        <v>女</v>
      </c>
      <c r="D175" s="16" t="s">
        <v>53</v>
      </c>
      <c r="E175" s="19">
        <v>83.6</v>
      </c>
      <c r="F175" s="19">
        <f t="shared" si="20"/>
        <v>33.44</v>
      </c>
      <c r="G175" s="19">
        <v>84.16</v>
      </c>
      <c r="H175" s="19"/>
      <c r="I175" s="19">
        <f t="shared" si="21"/>
        <v>50.496</v>
      </c>
      <c r="J175" s="19"/>
      <c r="K175" s="19">
        <f t="shared" si="22"/>
        <v>83.936</v>
      </c>
      <c r="L175" s="20">
        <v>10</v>
      </c>
      <c r="M175" s="19"/>
    </row>
    <row r="176" ht="33" customHeight="1" spans="1:13">
      <c r="A176" s="15">
        <v>11</v>
      </c>
      <c r="B176" s="25" t="str">
        <f>"杨丹丹"</f>
        <v>杨丹丹</v>
      </c>
      <c r="C176" s="16" t="str">
        <f t="shared" si="19"/>
        <v>女</v>
      </c>
      <c r="D176" s="16" t="s">
        <v>53</v>
      </c>
      <c r="E176" s="19">
        <v>82</v>
      </c>
      <c r="F176" s="19">
        <f t="shared" si="20"/>
        <v>32.8</v>
      </c>
      <c r="G176" s="19">
        <v>83.92</v>
      </c>
      <c r="H176" s="19"/>
      <c r="I176" s="19">
        <f t="shared" si="21"/>
        <v>50.352</v>
      </c>
      <c r="J176" s="19"/>
      <c r="K176" s="19">
        <f t="shared" si="22"/>
        <v>83.152</v>
      </c>
      <c r="L176" s="20">
        <v>11</v>
      </c>
      <c r="M176" s="19"/>
    </row>
    <row r="177" ht="33" customHeight="1" spans="1:13">
      <c r="A177" s="15">
        <v>12</v>
      </c>
      <c r="B177" s="16" t="str">
        <f>"陈芳"</f>
        <v>陈芳</v>
      </c>
      <c r="C177" s="16" t="str">
        <f t="shared" si="19"/>
        <v>女</v>
      </c>
      <c r="D177" s="16" t="s">
        <v>53</v>
      </c>
      <c r="E177" s="19">
        <v>84.2</v>
      </c>
      <c r="F177" s="19">
        <f t="shared" si="20"/>
        <v>33.68</v>
      </c>
      <c r="G177" s="19">
        <v>82.1</v>
      </c>
      <c r="H177" s="19"/>
      <c r="I177" s="19">
        <f t="shared" si="21"/>
        <v>49.26</v>
      </c>
      <c r="J177" s="19"/>
      <c r="K177" s="19">
        <f t="shared" si="22"/>
        <v>82.94</v>
      </c>
      <c r="L177" s="20">
        <v>12</v>
      </c>
      <c r="M177" s="19"/>
    </row>
    <row r="178" ht="33" customHeight="1" spans="1:13">
      <c r="A178" s="15">
        <v>13</v>
      </c>
      <c r="B178" s="16" t="str">
        <f>"周梦洁"</f>
        <v>周梦洁</v>
      </c>
      <c r="C178" s="16" t="str">
        <f t="shared" si="19"/>
        <v>女</v>
      </c>
      <c r="D178" s="16" t="s">
        <v>53</v>
      </c>
      <c r="E178" s="19">
        <v>79.8</v>
      </c>
      <c r="F178" s="19">
        <f t="shared" si="20"/>
        <v>31.92</v>
      </c>
      <c r="G178" s="19">
        <v>84.66</v>
      </c>
      <c r="H178" s="19"/>
      <c r="I178" s="19">
        <f t="shared" si="21"/>
        <v>50.796</v>
      </c>
      <c r="J178" s="19"/>
      <c r="K178" s="19">
        <f t="shared" si="22"/>
        <v>82.716</v>
      </c>
      <c r="L178" s="20">
        <v>13</v>
      </c>
      <c r="M178" s="19"/>
    </row>
    <row r="179" ht="33" customHeight="1" spans="1:13">
      <c r="A179" s="9" t="s">
        <v>2</v>
      </c>
      <c r="B179" s="9" t="s">
        <v>3</v>
      </c>
      <c r="C179" s="9" t="s">
        <v>4</v>
      </c>
      <c r="D179" s="9" t="s">
        <v>5</v>
      </c>
      <c r="E179" s="9" t="s">
        <v>25</v>
      </c>
      <c r="F179" s="10" t="s">
        <v>7</v>
      </c>
      <c r="G179" s="10" t="s">
        <v>8</v>
      </c>
      <c r="H179" s="10"/>
      <c r="I179" s="10"/>
      <c r="J179" s="10"/>
      <c r="K179" s="10" t="s">
        <v>9</v>
      </c>
      <c r="L179" s="9" t="s">
        <v>10</v>
      </c>
      <c r="M179" s="10" t="s">
        <v>11</v>
      </c>
    </row>
    <row r="180" ht="33" customHeight="1" spans="1:13">
      <c r="A180" s="9"/>
      <c r="B180" s="9"/>
      <c r="C180" s="9"/>
      <c r="D180" s="9"/>
      <c r="E180" s="9"/>
      <c r="F180" s="10"/>
      <c r="G180" s="10" t="s">
        <v>51</v>
      </c>
      <c r="H180" s="10"/>
      <c r="I180" s="10" t="s">
        <v>52</v>
      </c>
      <c r="J180" s="10"/>
      <c r="K180" s="10"/>
      <c r="L180" s="9"/>
      <c r="M180" s="10"/>
    </row>
    <row r="181" ht="33" customHeight="1" spans="1:13">
      <c r="A181" s="15">
        <v>14</v>
      </c>
      <c r="B181" s="16" t="str">
        <f>"赵鑫"</f>
        <v>赵鑫</v>
      </c>
      <c r="C181" s="16" t="str">
        <f t="shared" ref="C181:C189" si="23">"女"</f>
        <v>女</v>
      </c>
      <c r="D181" s="16" t="s">
        <v>53</v>
      </c>
      <c r="E181" s="19">
        <v>80.8</v>
      </c>
      <c r="F181" s="19">
        <f t="shared" ref="F181:F193" si="24">E181*0.4</f>
        <v>32.32</v>
      </c>
      <c r="G181" s="19">
        <v>83.12</v>
      </c>
      <c r="H181" s="19"/>
      <c r="I181" s="19">
        <f t="shared" ref="I181:I193" si="25">G181*0.6</f>
        <v>49.872</v>
      </c>
      <c r="J181" s="19"/>
      <c r="K181" s="19">
        <f t="shared" ref="K181:K193" si="26">F181+I181</f>
        <v>82.192</v>
      </c>
      <c r="L181" s="20">
        <v>14</v>
      </c>
      <c r="M181" s="19"/>
    </row>
    <row r="182" ht="33" customHeight="1" spans="1:13">
      <c r="A182" s="15">
        <v>15</v>
      </c>
      <c r="B182" s="16" t="str">
        <f>"陈曙虹"</f>
        <v>陈曙虹</v>
      </c>
      <c r="C182" s="16" t="str">
        <f t="shared" si="23"/>
        <v>女</v>
      </c>
      <c r="D182" s="16" t="s">
        <v>53</v>
      </c>
      <c r="E182" s="19">
        <v>81.4</v>
      </c>
      <c r="F182" s="19">
        <f t="shared" si="24"/>
        <v>32.56</v>
      </c>
      <c r="G182" s="19">
        <v>81.3</v>
      </c>
      <c r="H182" s="19"/>
      <c r="I182" s="19">
        <f t="shared" si="25"/>
        <v>48.78</v>
      </c>
      <c r="J182" s="19"/>
      <c r="K182" s="19">
        <f t="shared" si="26"/>
        <v>81.34</v>
      </c>
      <c r="L182" s="20">
        <v>15</v>
      </c>
      <c r="M182" s="19"/>
    </row>
    <row r="183" ht="33" customHeight="1" spans="1:13">
      <c r="A183" s="15">
        <v>16</v>
      </c>
      <c r="B183" s="16" t="str">
        <f>"吴杜娟"</f>
        <v>吴杜娟</v>
      </c>
      <c r="C183" s="16" t="str">
        <f t="shared" si="23"/>
        <v>女</v>
      </c>
      <c r="D183" s="16" t="s">
        <v>53</v>
      </c>
      <c r="E183" s="19">
        <v>80.8</v>
      </c>
      <c r="F183" s="19">
        <f t="shared" si="24"/>
        <v>32.32</v>
      </c>
      <c r="G183" s="19">
        <v>80.88</v>
      </c>
      <c r="H183" s="19"/>
      <c r="I183" s="19">
        <f t="shared" si="25"/>
        <v>48.528</v>
      </c>
      <c r="J183" s="19"/>
      <c r="K183" s="19">
        <f t="shared" si="26"/>
        <v>80.848</v>
      </c>
      <c r="L183" s="20">
        <v>16</v>
      </c>
      <c r="M183" s="19"/>
    </row>
    <row r="184" ht="33" customHeight="1" spans="1:13">
      <c r="A184" s="15">
        <v>17</v>
      </c>
      <c r="B184" s="25" t="str">
        <f>"周静"</f>
        <v>周静</v>
      </c>
      <c r="C184" s="16" t="str">
        <f t="shared" si="23"/>
        <v>女</v>
      </c>
      <c r="D184" s="16" t="s">
        <v>53</v>
      </c>
      <c r="E184" s="19">
        <v>81.6</v>
      </c>
      <c r="F184" s="19">
        <f t="shared" si="24"/>
        <v>32.64</v>
      </c>
      <c r="G184" s="19">
        <v>80.14</v>
      </c>
      <c r="H184" s="19"/>
      <c r="I184" s="19">
        <f t="shared" si="25"/>
        <v>48.084</v>
      </c>
      <c r="J184" s="19"/>
      <c r="K184" s="19">
        <f t="shared" si="26"/>
        <v>80.724</v>
      </c>
      <c r="L184" s="20">
        <v>17</v>
      </c>
      <c r="M184" s="19"/>
    </row>
    <row r="185" ht="33" customHeight="1" spans="1:13">
      <c r="A185" s="15">
        <v>18</v>
      </c>
      <c r="B185" s="16" t="str">
        <f>"颜姣娇"</f>
        <v>颜姣娇</v>
      </c>
      <c r="C185" s="16" t="str">
        <f t="shared" si="23"/>
        <v>女</v>
      </c>
      <c r="D185" s="16" t="s">
        <v>53</v>
      </c>
      <c r="E185" s="19">
        <v>83</v>
      </c>
      <c r="F185" s="19">
        <f t="shared" si="24"/>
        <v>33.2</v>
      </c>
      <c r="G185" s="19">
        <v>78.2</v>
      </c>
      <c r="H185" s="19"/>
      <c r="I185" s="19">
        <f t="shared" si="25"/>
        <v>46.92</v>
      </c>
      <c r="J185" s="19"/>
      <c r="K185" s="19">
        <f t="shared" si="26"/>
        <v>80.12</v>
      </c>
      <c r="L185" s="20">
        <v>18</v>
      </c>
      <c r="M185" s="19"/>
    </row>
    <row r="186" ht="33" customHeight="1" spans="1:13">
      <c r="A186" s="15">
        <v>19</v>
      </c>
      <c r="B186" s="16" t="str">
        <f>"吴巧月"</f>
        <v>吴巧月</v>
      </c>
      <c r="C186" s="16" t="str">
        <f t="shared" si="23"/>
        <v>女</v>
      </c>
      <c r="D186" s="16" t="s">
        <v>53</v>
      </c>
      <c r="E186" s="19">
        <v>76.8</v>
      </c>
      <c r="F186" s="19">
        <f t="shared" si="24"/>
        <v>30.72</v>
      </c>
      <c r="G186" s="19">
        <v>81.96</v>
      </c>
      <c r="H186" s="19"/>
      <c r="I186" s="19">
        <f t="shared" si="25"/>
        <v>49.176</v>
      </c>
      <c r="J186" s="19"/>
      <c r="K186" s="19">
        <f t="shared" si="26"/>
        <v>79.896</v>
      </c>
      <c r="L186" s="20">
        <v>19</v>
      </c>
      <c r="M186" s="19"/>
    </row>
    <row r="187" ht="33" customHeight="1" spans="1:13">
      <c r="A187" s="15">
        <v>20</v>
      </c>
      <c r="B187" s="16" t="str">
        <f>"刘玉传"</f>
        <v>刘玉传</v>
      </c>
      <c r="C187" s="16" t="str">
        <f t="shared" si="23"/>
        <v>女</v>
      </c>
      <c r="D187" s="16" t="s">
        <v>53</v>
      </c>
      <c r="E187" s="19">
        <v>80</v>
      </c>
      <c r="F187" s="19">
        <f t="shared" si="24"/>
        <v>32</v>
      </c>
      <c r="G187" s="19">
        <v>78.8</v>
      </c>
      <c r="H187" s="19"/>
      <c r="I187" s="19">
        <f t="shared" si="25"/>
        <v>47.28</v>
      </c>
      <c r="J187" s="19"/>
      <c r="K187" s="19">
        <f t="shared" si="26"/>
        <v>79.28</v>
      </c>
      <c r="L187" s="20">
        <v>20</v>
      </c>
      <c r="M187" s="19"/>
    </row>
    <row r="188" ht="33" customHeight="1" spans="1:13">
      <c r="A188" s="15">
        <v>21</v>
      </c>
      <c r="B188" s="16" t="str">
        <f>"谢思敏"</f>
        <v>谢思敏</v>
      </c>
      <c r="C188" s="16" t="str">
        <f t="shared" si="23"/>
        <v>女</v>
      </c>
      <c r="D188" s="16" t="s">
        <v>53</v>
      </c>
      <c r="E188" s="19">
        <v>80.2</v>
      </c>
      <c r="F188" s="19">
        <f t="shared" si="24"/>
        <v>32.08</v>
      </c>
      <c r="G188" s="19">
        <v>78</v>
      </c>
      <c r="H188" s="19"/>
      <c r="I188" s="19">
        <f t="shared" si="25"/>
        <v>46.8</v>
      </c>
      <c r="J188" s="19"/>
      <c r="K188" s="19">
        <f t="shared" si="26"/>
        <v>78.88</v>
      </c>
      <c r="L188" s="20">
        <v>21</v>
      </c>
      <c r="M188" s="19"/>
    </row>
    <row r="189" ht="33" customHeight="1" spans="1:13">
      <c r="A189" s="15">
        <v>22</v>
      </c>
      <c r="B189" s="16" t="s">
        <v>54</v>
      </c>
      <c r="C189" s="16" t="str">
        <f t="shared" si="23"/>
        <v>女</v>
      </c>
      <c r="D189" s="16" t="s">
        <v>53</v>
      </c>
      <c r="E189" s="19">
        <v>70</v>
      </c>
      <c r="F189" s="19">
        <f t="shared" si="24"/>
        <v>28</v>
      </c>
      <c r="G189" s="19">
        <v>84.52</v>
      </c>
      <c r="H189" s="19"/>
      <c r="I189" s="19">
        <f t="shared" si="25"/>
        <v>50.712</v>
      </c>
      <c r="J189" s="19"/>
      <c r="K189" s="19">
        <f t="shared" si="26"/>
        <v>78.712</v>
      </c>
      <c r="L189" s="20">
        <v>22</v>
      </c>
      <c r="M189" s="19"/>
    </row>
    <row r="190" ht="33" customHeight="1" spans="1:13">
      <c r="A190" s="15">
        <v>23</v>
      </c>
      <c r="B190" s="16" t="str">
        <f>"段开开"</f>
        <v>段开开</v>
      </c>
      <c r="C190" s="16" t="str">
        <f>"男"</f>
        <v>男</v>
      </c>
      <c r="D190" s="16" t="s">
        <v>53</v>
      </c>
      <c r="E190" s="19">
        <v>82.2</v>
      </c>
      <c r="F190" s="19">
        <f t="shared" si="24"/>
        <v>32.88</v>
      </c>
      <c r="G190" s="19">
        <v>76.16</v>
      </c>
      <c r="H190" s="19"/>
      <c r="I190" s="19">
        <f t="shared" si="25"/>
        <v>45.696</v>
      </c>
      <c r="J190" s="19"/>
      <c r="K190" s="19">
        <f t="shared" si="26"/>
        <v>78.576</v>
      </c>
      <c r="L190" s="20">
        <v>23</v>
      </c>
      <c r="M190" s="19"/>
    </row>
    <row r="191" ht="33" customHeight="1" spans="1:13">
      <c r="A191" s="15">
        <v>24</v>
      </c>
      <c r="B191" s="16" t="str">
        <f>"陈玉洁"</f>
        <v>陈玉洁</v>
      </c>
      <c r="C191" s="16" t="str">
        <f>"女"</f>
        <v>女</v>
      </c>
      <c r="D191" s="16" t="s">
        <v>53</v>
      </c>
      <c r="E191" s="19">
        <v>78</v>
      </c>
      <c r="F191" s="19">
        <f t="shared" si="24"/>
        <v>31.2</v>
      </c>
      <c r="G191" s="19">
        <v>77.02</v>
      </c>
      <c r="H191" s="19"/>
      <c r="I191" s="19">
        <f t="shared" si="25"/>
        <v>46.212</v>
      </c>
      <c r="J191" s="19"/>
      <c r="K191" s="19">
        <f t="shared" si="26"/>
        <v>77.412</v>
      </c>
      <c r="L191" s="20">
        <v>24</v>
      </c>
      <c r="M191" s="19"/>
    </row>
    <row r="192" ht="33" customHeight="1" spans="1:13">
      <c r="A192" s="15">
        <v>25</v>
      </c>
      <c r="B192" s="16" t="str">
        <f>"吴涛"</f>
        <v>吴涛</v>
      </c>
      <c r="C192" s="16" t="str">
        <f>"男"</f>
        <v>男</v>
      </c>
      <c r="D192" s="16" t="s">
        <v>53</v>
      </c>
      <c r="E192" s="19">
        <v>83.2</v>
      </c>
      <c r="F192" s="19">
        <f t="shared" si="24"/>
        <v>33.28</v>
      </c>
      <c r="G192" s="19">
        <v>72.62</v>
      </c>
      <c r="H192" s="19"/>
      <c r="I192" s="19">
        <f t="shared" si="25"/>
        <v>43.572</v>
      </c>
      <c r="J192" s="19"/>
      <c r="K192" s="19">
        <f t="shared" si="26"/>
        <v>76.852</v>
      </c>
      <c r="L192" s="20">
        <v>25</v>
      </c>
      <c r="M192" s="19"/>
    </row>
    <row r="193" ht="33" customHeight="1" spans="1:13">
      <c r="A193" s="15">
        <v>26</v>
      </c>
      <c r="B193" s="16" t="str">
        <f>"李矫飞"</f>
        <v>李矫飞</v>
      </c>
      <c r="C193" s="16" t="str">
        <f>"女"</f>
        <v>女</v>
      </c>
      <c r="D193" s="16" t="s">
        <v>53</v>
      </c>
      <c r="E193" s="19">
        <v>83.6</v>
      </c>
      <c r="F193" s="19">
        <f t="shared" si="24"/>
        <v>33.44</v>
      </c>
      <c r="G193" s="19">
        <v>71.62</v>
      </c>
      <c r="H193" s="19"/>
      <c r="I193" s="19">
        <f t="shared" si="25"/>
        <v>42.972</v>
      </c>
      <c r="J193" s="19"/>
      <c r="K193" s="19">
        <f t="shared" si="26"/>
        <v>76.412</v>
      </c>
      <c r="L193" s="20">
        <v>26</v>
      </c>
      <c r="M193" s="19"/>
    </row>
    <row r="194" ht="33" customHeight="1" spans="1:13">
      <c r="A194" s="9" t="s">
        <v>2</v>
      </c>
      <c r="B194" s="9" t="s">
        <v>3</v>
      </c>
      <c r="C194" s="9" t="s">
        <v>4</v>
      </c>
      <c r="D194" s="9" t="s">
        <v>5</v>
      </c>
      <c r="E194" s="9" t="s">
        <v>25</v>
      </c>
      <c r="F194" s="10" t="s">
        <v>7</v>
      </c>
      <c r="G194" s="10" t="s">
        <v>8</v>
      </c>
      <c r="H194" s="10"/>
      <c r="I194" s="10"/>
      <c r="J194" s="10"/>
      <c r="K194" s="10" t="s">
        <v>9</v>
      </c>
      <c r="L194" s="9" t="s">
        <v>10</v>
      </c>
      <c r="M194" s="10" t="s">
        <v>11</v>
      </c>
    </row>
    <row r="195" ht="33" customHeight="1" spans="1:13">
      <c r="A195" s="9"/>
      <c r="B195" s="9"/>
      <c r="C195" s="9"/>
      <c r="D195" s="9"/>
      <c r="E195" s="9"/>
      <c r="F195" s="10"/>
      <c r="G195" s="10" t="s">
        <v>51</v>
      </c>
      <c r="H195" s="10"/>
      <c r="I195" s="10" t="s">
        <v>52</v>
      </c>
      <c r="J195" s="10"/>
      <c r="K195" s="10"/>
      <c r="L195" s="9"/>
      <c r="M195" s="10"/>
    </row>
    <row r="196" ht="33" customHeight="1" spans="1:13">
      <c r="A196" s="15">
        <v>27</v>
      </c>
      <c r="B196" s="16" t="str">
        <f>"姚佳"</f>
        <v>姚佳</v>
      </c>
      <c r="C196" s="16" t="str">
        <f>"女"</f>
        <v>女</v>
      </c>
      <c r="D196" s="16" t="s">
        <v>53</v>
      </c>
      <c r="E196" s="19">
        <v>81</v>
      </c>
      <c r="F196" s="19">
        <f t="shared" ref="F196:F208" si="27">E196*0.4</f>
        <v>32.4</v>
      </c>
      <c r="G196" s="19">
        <v>72.84</v>
      </c>
      <c r="H196" s="19"/>
      <c r="I196" s="19">
        <f t="shared" ref="I196:I208" si="28">G196*0.6</f>
        <v>43.704</v>
      </c>
      <c r="J196" s="19"/>
      <c r="K196" s="19">
        <f t="shared" ref="K196:K208" si="29">F196+I196</f>
        <v>76.104</v>
      </c>
      <c r="L196" s="20">
        <v>27</v>
      </c>
      <c r="M196" s="19"/>
    </row>
    <row r="197" ht="33" customHeight="1" spans="1:13">
      <c r="A197" s="15">
        <v>28</v>
      </c>
      <c r="B197" s="16" t="str">
        <f>"李潇汉"</f>
        <v>李潇汉</v>
      </c>
      <c r="C197" s="16" t="str">
        <f>"男"</f>
        <v>男</v>
      </c>
      <c r="D197" s="16" t="s">
        <v>53</v>
      </c>
      <c r="E197" s="19">
        <v>79.2</v>
      </c>
      <c r="F197" s="19">
        <f t="shared" si="27"/>
        <v>31.68</v>
      </c>
      <c r="G197" s="19">
        <v>73.96</v>
      </c>
      <c r="H197" s="19"/>
      <c r="I197" s="19">
        <f t="shared" si="28"/>
        <v>44.376</v>
      </c>
      <c r="J197" s="19"/>
      <c r="K197" s="19">
        <f t="shared" si="29"/>
        <v>76.056</v>
      </c>
      <c r="L197" s="20">
        <v>28</v>
      </c>
      <c r="M197" s="19"/>
    </row>
    <row r="198" ht="33" customHeight="1" spans="1:13">
      <c r="A198" s="15">
        <v>29</v>
      </c>
      <c r="B198" s="16" t="str">
        <f>"胡慧"</f>
        <v>胡慧</v>
      </c>
      <c r="C198" s="16" t="str">
        <f t="shared" ref="C198:C204" si="30">"女"</f>
        <v>女</v>
      </c>
      <c r="D198" s="16" t="s">
        <v>53</v>
      </c>
      <c r="E198" s="19">
        <v>84</v>
      </c>
      <c r="F198" s="19">
        <f t="shared" si="27"/>
        <v>33.6</v>
      </c>
      <c r="G198" s="19">
        <v>70.72</v>
      </c>
      <c r="H198" s="19"/>
      <c r="I198" s="19">
        <f t="shared" si="28"/>
        <v>42.432</v>
      </c>
      <c r="J198" s="19"/>
      <c r="K198" s="19">
        <f t="shared" si="29"/>
        <v>76.032</v>
      </c>
      <c r="L198" s="20">
        <v>29</v>
      </c>
      <c r="M198" s="19"/>
    </row>
    <row r="199" ht="33" customHeight="1" spans="1:13">
      <c r="A199" s="15">
        <v>30</v>
      </c>
      <c r="B199" s="16" t="str">
        <f>"周颖"</f>
        <v>周颖</v>
      </c>
      <c r="C199" s="16" t="str">
        <f t="shared" si="30"/>
        <v>女</v>
      </c>
      <c r="D199" s="16" t="s">
        <v>53</v>
      </c>
      <c r="E199" s="19">
        <v>82.4</v>
      </c>
      <c r="F199" s="19">
        <f t="shared" si="27"/>
        <v>32.96</v>
      </c>
      <c r="G199" s="19">
        <v>71.76</v>
      </c>
      <c r="H199" s="19"/>
      <c r="I199" s="19">
        <f t="shared" si="28"/>
        <v>43.056</v>
      </c>
      <c r="J199" s="19"/>
      <c r="K199" s="19">
        <f t="shared" si="29"/>
        <v>76.016</v>
      </c>
      <c r="L199" s="20">
        <v>30</v>
      </c>
      <c r="M199" s="19"/>
    </row>
    <row r="200" ht="33" customHeight="1" spans="1:13">
      <c r="A200" s="15">
        <v>31</v>
      </c>
      <c r="B200" s="16" t="str">
        <f>"张玲玲"</f>
        <v>张玲玲</v>
      </c>
      <c r="C200" s="16" t="str">
        <f t="shared" si="30"/>
        <v>女</v>
      </c>
      <c r="D200" s="16" t="s">
        <v>53</v>
      </c>
      <c r="E200" s="19">
        <v>79.6</v>
      </c>
      <c r="F200" s="19">
        <f t="shared" si="27"/>
        <v>31.84</v>
      </c>
      <c r="G200" s="19">
        <v>73.2</v>
      </c>
      <c r="H200" s="19"/>
      <c r="I200" s="19">
        <f t="shared" si="28"/>
        <v>43.92</v>
      </c>
      <c r="J200" s="19"/>
      <c r="K200" s="19">
        <f t="shared" si="29"/>
        <v>75.76</v>
      </c>
      <c r="L200" s="20">
        <v>31</v>
      </c>
      <c r="M200" s="19"/>
    </row>
    <row r="201" ht="33" customHeight="1" spans="1:13">
      <c r="A201" s="15">
        <v>32</v>
      </c>
      <c r="B201" s="16" t="str">
        <f>"屈慧敏"</f>
        <v>屈慧敏</v>
      </c>
      <c r="C201" s="16" t="str">
        <f t="shared" si="30"/>
        <v>女</v>
      </c>
      <c r="D201" s="16" t="s">
        <v>53</v>
      </c>
      <c r="E201" s="19">
        <v>82</v>
      </c>
      <c r="F201" s="19">
        <f t="shared" si="27"/>
        <v>32.8</v>
      </c>
      <c r="G201" s="19">
        <v>71.26</v>
      </c>
      <c r="H201" s="19"/>
      <c r="I201" s="19">
        <f t="shared" si="28"/>
        <v>42.756</v>
      </c>
      <c r="J201" s="19"/>
      <c r="K201" s="19">
        <f t="shared" si="29"/>
        <v>75.556</v>
      </c>
      <c r="L201" s="20">
        <v>32</v>
      </c>
      <c r="M201" s="19"/>
    </row>
    <row r="202" ht="33" customHeight="1" spans="1:13">
      <c r="A202" s="15">
        <v>33</v>
      </c>
      <c r="B202" s="16" t="str">
        <f>"赵丽娜"</f>
        <v>赵丽娜</v>
      </c>
      <c r="C202" s="16" t="str">
        <f t="shared" si="30"/>
        <v>女</v>
      </c>
      <c r="D202" s="16" t="s">
        <v>53</v>
      </c>
      <c r="E202" s="19">
        <v>74.6</v>
      </c>
      <c r="F202" s="19">
        <f t="shared" si="27"/>
        <v>29.84</v>
      </c>
      <c r="G202" s="19">
        <v>76.12</v>
      </c>
      <c r="H202" s="19"/>
      <c r="I202" s="19">
        <f t="shared" si="28"/>
        <v>45.672</v>
      </c>
      <c r="J202" s="19"/>
      <c r="K202" s="19">
        <f t="shared" si="29"/>
        <v>75.512</v>
      </c>
      <c r="L202" s="20">
        <v>33</v>
      </c>
      <c r="M202" s="19"/>
    </row>
    <row r="203" ht="33" customHeight="1" spans="1:13">
      <c r="A203" s="15">
        <v>34</v>
      </c>
      <c r="B203" s="16" t="str">
        <f>"伍仕梅"</f>
        <v>伍仕梅</v>
      </c>
      <c r="C203" s="16" t="str">
        <f t="shared" si="30"/>
        <v>女</v>
      </c>
      <c r="D203" s="16" t="s">
        <v>53</v>
      </c>
      <c r="E203" s="19">
        <v>81.3</v>
      </c>
      <c r="F203" s="19">
        <f t="shared" si="27"/>
        <v>32.52</v>
      </c>
      <c r="G203" s="19">
        <v>71.62</v>
      </c>
      <c r="H203" s="19"/>
      <c r="I203" s="19">
        <f t="shared" si="28"/>
        <v>42.972</v>
      </c>
      <c r="J203" s="19"/>
      <c r="K203" s="19">
        <f t="shared" si="29"/>
        <v>75.492</v>
      </c>
      <c r="L203" s="20">
        <v>34</v>
      </c>
      <c r="M203" s="19"/>
    </row>
    <row r="204" ht="33" customHeight="1" spans="1:13">
      <c r="A204" s="15">
        <v>35</v>
      </c>
      <c r="B204" s="16" t="str">
        <f>"黄山珺"</f>
        <v>黄山珺</v>
      </c>
      <c r="C204" s="16" t="str">
        <f t="shared" si="30"/>
        <v>女</v>
      </c>
      <c r="D204" s="16" t="s">
        <v>53</v>
      </c>
      <c r="E204" s="19">
        <v>80.4</v>
      </c>
      <c r="F204" s="19">
        <f t="shared" si="27"/>
        <v>32.16</v>
      </c>
      <c r="G204" s="19">
        <v>71.62</v>
      </c>
      <c r="H204" s="19"/>
      <c r="I204" s="19">
        <f t="shared" si="28"/>
        <v>42.972</v>
      </c>
      <c r="J204" s="19"/>
      <c r="K204" s="19">
        <f t="shared" si="29"/>
        <v>75.132</v>
      </c>
      <c r="L204" s="20">
        <v>35</v>
      </c>
      <c r="M204" s="19"/>
    </row>
    <row r="205" ht="33" customHeight="1" spans="1:13">
      <c r="A205" s="15">
        <v>36</v>
      </c>
      <c r="B205" s="16" t="str">
        <f>"黄露"</f>
        <v>黄露</v>
      </c>
      <c r="C205" s="16" t="str">
        <f>"男"</f>
        <v>男</v>
      </c>
      <c r="D205" s="16" t="s">
        <v>53</v>
      </c>
      <c r="E205" s="19">
        <v>80</v>
      </c>
      <c r="F205" s="19">
        <f t="shared" si="27"/>
        <v>32</v>
      </c>
      <c r="G205" s="19">
        <v>71.64</v>
      </c>
      <c r="H205" s="19"/>
      <c r="I205" s="19">
        <f t="shared" si="28"/>
        <v>42.984</v>
      </c>
      <c r="J205" s="19"/>
      <c r="K205" s="19">
        <f t="shared" si="29"/>
        <v>74.984</v>
      </c>
      <c r="L205" s="20">
        <v>36</v>
      </c>
      <c r="M205" s="19"/>
    </row>
    <row r="206" ht="33" customHeight="1" spans="1:13">
      <c r="A206" s="15">
        <v>37</v>
      </c>
      <c r="B206" s="16" t="str">
        <f>"杨翔"</f>
        <v>杨翔</v>
      </c>
      <c r="C206" s="16" t="str">
        <f>"男"</f>
        <v>男</v>
      </c>
      <c r="D206" s="16" t="s">
        <v>53</v>
      </c>
      <c r="E206" s="19">
        <v>71</v>
      </c>
      <c r="F206" s="19">
        <f t="shared" si="27"/>
        <v>28.4</v>
      </c>
      <c r="G206" s="19">
        <v>77.3</v>
      </c>
      <c r="H206" s="19"/>
      <c r="I206" s="19">
        <f t="shared" si="28"/>
        <v>46.38</v>
      </c>
      <c r="J206" s="19"/>
      <c r="K206" s="19">
        <f t="shared" si="29"/>
        <v>74.78</v>
      </c>
      <c r="L206" s="20">
        <v>37</v>
      </c>
      <c r="M206" s="19"/>
    </row>
    <row r="207" ht="33" customHeight="1" spans="1:13">
      <c r="A207" s="15">
        <v>38</v>
      </c>
      <c r="B207" s="16" t="str">
        <f>"李书珍"</f>
        <v>李书珍</v>
      </c>
      <c r="C207" s="16" t="str">
        <f>"女"</f>
        <v>女</v>
      </c>
      <c r="D207" s="16" t="s">
        <v>53</v>
      </c>
      <c r="E207" s="19">
        <v>72.8</v>
      </c>
      <c r="F207" s="19">
        <f t="shared" si="27"/>
        <v>29.12</v>
      </c>
      <c r="G207" s="19">
        <v>76</v>
      </c>
      <c r="H207" s="19"/>
      <c r="I207" s="19">
        <f t="shared" si="28"/>
        <v>45.6</v>
      </c>
      <c r="J207" s="19"/>
      <c r="K207" s="19">
        <f t="shared" si="29"/>
        <v>74.72</v>
      </c>
      <c r="L207" s="20">
        <v>38</v>
      </c>
      <c r="M207" s="19"/>
    </row>
    <row r="208" ht="33" customHeight="1" spans="1:13">
      <c r="A208" s="15">
        <v>39</v>
      </c>
      <c r="B208" s="16" t="str">
        <f>"李楠紫"</f>
        <v>李楠紫</v>
      </c>
      <c r="C208" s="16" t="str">
        <f>"女"</f>
        <v>女</v>
      </c>
      <c r="D208" s="16" t="s">
        <v>53</v>
      </c>
      <c r="E208" s="19">
        <v>75.2</v>
      </c>
      <c r="F208" s="19">
        <f t="shared" si="27"/>
        <v>30.08</v>
      </c>
      <c r="G208" s="19">
        <v>73.02</v>
      </c>
      <c r="H208" s="19"/>
      <c r="I208" s="19">
        <f t="shared" si="28"/>
        <v>43.812</v>
      </c>
      <c r="J208" s="19"/>
      <c r="K208" s="19">
        <f t="shared" si="29"/>
        <v>73.892</v>
      </c>
      <c r="L208" s="20">
        <v>39</v>
      </c>
      <c r="M208" s="19"/>
    </row>
    <row r="209" ht="33" customHeight="1" spans="1:13">
      <c r="A209" s="9" t="s">
        <v>2</v>
      </c>
      <c r="B209" s="9" t="s">
        <v>3</v>
      </c>
      <c r="C209" s="9" t="s">
        <v>4</v>
      </c>
      <c r="D209" s="9" t="s">
        <v>5</v>
      </c>
      <c r="E209" s="9" t="s">
        <v>25</v>
      </c>
      <c r="F209" s="10" t="s">
        <v>7</v>
      </c>
      <c r="G209" s="10" t="s">
        <v>8</v>
      </c>
      <c r="H209" s="10"/>
      <c r="I209" s="10"/>
      <c r="J209" s="10"/>
      <c r="K209" s="10" t="s">
        <v>9</v>
      </c>
      <c r="L209" s="9" t="s">
        <v>10</v>
      </c>
      <c r="M209" s="9" t="s">
        <v>11</v>
      </c>
    </row>
    <row r="210" ht="33" customHeight="1" spans="1:13">
      <c r="A210" s="9"/>
      <c r="B210" s="9"/>
      <c r="C210" s="9"/>
      <c r="D210" s="9"/>
      <c r="E210" s="9"/>
      <c r="F210" s="10"/>
      <c r="G210" s="10" t="s">
        <v>51</v>
      </c>
      <c r="H210" s="10"/>
      <c r="I210" s="10" t="s">
        <v>52</v>
      </c>
      <c r="J210" s="10"/>
      <c r="K210" s="10"/>
      <c r="L210" s="9"/>
      <c r="M210" s="9"/>
    </row>
    <row r="211" ht="33" customHeight="1" spans="1:13">
      <c r="A211" s="15">
        <v>40</v>
      </c>
      <c r="B211" s="16" t="str">
        <f>"阳智仇"</f>
        <v>阳智仇</v>
      </c>
      <c r="C211" s="16" t="str">
        <f>"女"</f>
        <v>女</v>
      </c>
      <c r="D211" s="16" t="s">
        <v>53</v>
      </c>
      <c r="E211" s="19">
        <v>76</v>
      </c>
      <c r="F211" s="19">
        <f>E211*0.4</f>
        <v>30.4</v>
      </c>
      <c r="G211" s="19">
        <v>71.14</v>
      </c>
      <c r="H211" s="19"/>
      <c r="I211" s="19">
        <f>G211*0.6</f>
        <v>42.684</v>
      </c>
      <c r="J211" s="19"/>
      <c r="K211" s="19">
        <f>F211+I211</f>
        <v>73.084</v>
      </c>
      <c r="L211" s="20">
        <v>40</v>
      </c>
      <c r="M211" s="19"/>
    </row>
    <row r="212" ht="33" customHeight="1" spans="1:13">
      <c r="A212" s="15">
        <v>41</v>
      </c>
      <c r="B212" s="16" t="str">
        <f>"刘钰"</f>
        <v>刘钰</v>
      </c>
      <c r="C212" s="16" t="str">
        <f>"女"</f>
        <v>女</v>
      </c>
      <c r="D212" s="16" t="s">
        <v>53</v>
      </c>
      <c r="E212" s="19">
        <v>69</v>
      </c>
      <c r="F212" s="19">
        <f>E212*0.4</f>
        <v>27.6</v>
      </c>
      <c r="G212" s="27">
        <v>72.38</v>
      </c>
      <c r="H212" s="27"/>
      <c r="I212" s="19">
        <f>G212*0.6</f>
        <v>43.428</v>
      </c>
      <c r="J212" s="19"/>
      <c r="K212" s="19">
        <f>F212+I212</f>
        <v>71.028</v>
      </c>
      <c r="L212" s="20">
        <v>41</v>
      </c>
      <c r="M212" s="19"/>
    </row>
    <row r="213" ht="33" customHeight="1" spans="1:12">
      <c r="A213" s="15">
        <v>42</v>
      </c>
      <c r="B213" s="16" t="str">
        <f>"舒斯维"</f>
        <v>舒斯维</v>
      </c>
      <c r="C213" s="16" t="str">
        <f>"男"</f>
        <v>男</v>
      </c>
      <c r="D213" s="16" t="s">
        <v>53</v>
      </c>
      <c r="E213" s="19">
        <v>83</v>
      </c>
      <c r="F213" s="19">
        <f>E213*0.4</f>
        <v>33.2</v>
      </c>
      <c r="G213" s="19" t="s">
        <v>20</v>
      </c>
      <c r="H213" s="28"/>
      <c r="I213" s="19">
        <v>0</v>
      </c>
      <c r="J213" s="19"/>
      <c r="K213" s="19">
        <f>F213</f>
        <v>33.2</v>
      </c>
      <c r="L213" s="20">
        <v>42</v>
      </c>
    </row>
    <row r="214" ht="33" customHeight="1" spans="1:12">
      <c r="A214" s="15">
        <v>43</v>
      </c>
      <c r="B214" s="16" t="str">
        <f>"王小慧"</f>
        <v>王小慧</v>
      </c>
      <c r="C214" s="16" t="str">
        <f t="shared" ref="C214:C221" si="31">"女"</f>
        <v>女</v>
      </c>
      <c r="D214" s="16" t="s">
        <v>53</v>
      </c>
      <c r="E214" s="20" t="s">
        <v>18</v>
      </c>
      <c r="F214" s="20" t="s">
        <v>18</v>
      </c>
      <c r="G214" s="20" t="s">
        <v>20</v>
      </c>
      <c r="H214" s="28"/>
      <c r="I214" s="14">
        <v>0</v>
      </c>
      <c r="J214" s="14"/>
      <c r="K214" s="29">
        <v>0</v>
      </c>
      <c r="L214" s="20">
        <v>43</v>
      </c>
    </row>
    <row r="215" ht="33" customHeight="1" spans="1:13">
      <c r="A215" s="15">
        <v>44</v>
      </c>
      <c r="B215" s="16" t="str">
        <f>"杨谦"</f>
        <v>杨谦</v>
      </c>
      <c r="C215" s="16" t="str">
        <f t="shared" si="31"/>
        <v>女</v>
      </c>
      <c r="D215" s="16" t="s">
        <v>53</v>
      </c>
      <c r="E215" s="20" t="s">
        <v>18</v>
      </c>
      <c r="F215" s="20" t="s">
        <v>18</v>
      </c>
      <c r="G215" s="21" t="s">
        <v>18</v>
      </c>
      <c r="H215" s="21"/>
      <c r="I215" s="20" t="s">
        <v>18</v>
      </c>
      <c r="J215" s="20"/>
      <c r="K215" s="20" t="s">
        <v>18</v>
      </c>
      <c r="L215" s="20"/>
      <c r="M215" s="19"/>
    </row>
    <row r="216" ht="33" customHeight="1" spans="1:13">
      <c r="A216" s="15">
        <v>45</v>
      </c>
      <c r="B216" s="16" t="str">
        <f>"朱芳雨"</f>
        <v>朱芳雨</v>
      </c>
      <c r="C216" s="16" t="str">
        <f t="shared" si="31"/>
        <v>女</v>
      </c>
      <c r="D216" s="16" t="s">
        <v>53</v>
      </c>
      <c r="E216" s="20" t="s">
        <v>18</v>
      </c>
      <c r="F216" s="20" t="s">
        <v>18</v>
      </c>
      <c r="G216" s="20" t="s">
        <v>18</v>
      </c>
      <c r="H216" s="20"/>
      <c r="I216" s="20" t="s">
        <v>18</v>
      </c>
      <c r="J216" s="20"/>
      <c r="K216" s="20" t="s">
        <v>18</v>
      </c>
      <c r="L216" s="20"/>
      <c r="M216" s="19"/>
    </row>
    <row r="217" ht="33" customHeight="1" spans="1:13">
      <c r="A217" s="15">
        <v>46</v>
      </c>
      <c r="B217" s="16" t="str">
        <f>"陈思颖"</f>
        <v>陈思颖</v>
      </c>
      <c r="C217" s="16" t="str">
        <f t="shared" si="31"/>
        <v>女</v>
      </c>
      <c r="D217" s="16" t="s">
        <v>53</v>
      </c>
      <c r="E217" s="20" t="s">
        <v>18</v>
      </c>
      <c r="F217" s="20" t="s">
        <v>18</v>
      </c>
      <c r="G217" s="20" t="s">
        <v>18</v>
      </c>
      <c r="H217" s="20"/>
      <c r="I217" s="20" t="s">
        <v>18</v>
      </c>
      <c r="J217" s="20"/>
      <c r="K217" s="20" t="s">
        <v>18</v>
      </c>
      <c r="L217" s="20"/>
      <c r="M217" s="19"/>
    </row>
    <row r="218" ht="33" customHeight="1" spans="1:13">
      <c r="A218" s="15">
        <v>47</v>
      </c>
      <c r="B218" s="16" t="str">
        <f>"陈枚君"</f>
        <v>陈枚君</v>
      </c>
      <c r="C218" s="16" t="str">
        <f t="shared" si="31"/>
        <v>女</v>
      </c>
      <c r="D218" s="16" t="s">
        <v>53</v>
      </c>
      <c r="E218" s="20" t="s">
        <v>18</v>
      </c>
      <c r="F218" s="20" t="s">
        <v>18</v>
      </c>
      <c r="G218" s="20" t="s">
        <v>18</v>
      </c>
      <c r="H218" s="20"/>
      <c r="I218" s="20" t="s">
        <v>18</v>
      </c>
      <c r="J218" s="20"/>
      <c r="K218" s="20" t="s">
        <v>18</v>
      </c>
      <c r="L218" s="20"/>
      <c r="M218" s="19"/>
    </row>
    <row r="219" ht="33" customHeight="1" spans="1:13">
      <c r="A219" s="15">
        <v>48</v>
      </c>
      <c r="B219" s="16" t="str">
        <f>"熊文慧"</f>
        <v>熊文慧</v>
      </c>
      <c r="C219" s="16" t="str">
        <f t="shared" si="31"/>
        <v>女</v>
      </c>
      <c r="D219" s="16" t="s">
        <v>53</v>
      </c>
      <c r="E219" s="20" t="s">
        <v>18</v>
      </c>
      <c r="F219" s="20" t="s">
        <v>18</v>
      </c>
      <c r="G219" s="20" t="s">
        <v>18</v>
      </c>
      <c r="H219" s="20"/>
      <c r="I219" s="20" t="s">
        <v>18</v>
      </c>
      <c r="J219" s="20"/>
      <c r="K219" s="20" t="s">
        <v>18</v>
      </c>
      <c r="L219" s="20"/>
      <c r="M219" s="19"/>
    </row>
    <row r="220" ht="33" customHeight="1" spans="1:13">
      <c r="A220" s="15">
        <v>49</v>
      </c>
      <c r="B220" s="16" t="str">
        <f>"刘若雪"</f>
        <v>刘若雪</v>
      </c>
      <c r="C220" s="16" t="str">
        <f t="shared" si="31"/>
        <v>女</v>
      </c>
      <c r="D220" s="16" t="s">
        <v>53</v>
      </c>
      <c r="E220" s="20" t="s">
        <v>18</v>
      </c>
      <c r="F220" s="20" t="s">
        <v>18</v>
      </c>
      <c r="G220" s="20" t="s">
        <v>18</v>
      </c>
      <c r="H220" s="20"/>
      <c r="I220" s="20" t="s">
        <v>18</v>
      </c>
      <c r="J220" s="20"/>
      <c r="K220" s="20" t="s">
        <v>18</v>
      </c>
      <c r="L220" s="20"/>
      <c r="M220" s="19"/>
    </row>
    <row r="221" ht="33" customHeight="1" spans="1:13">
      <c r="A221" s="15">
        <v>50</v>
      </c>
      <c r="B221" s="16" t="str">
        <f>"毛玲秋"</f>
        <v>毛玲秋</v>
      </c>
      <c r="C221" s="16" t="str">
        <f t="shared" si="31"/>
        <v>女</v>
      </c>
      <c r="D221" s="16" t="s">
        <v>53</v>
      </c>
      <c r="E221" s="20" t="s">
        <v>18</v>
      </c>
      <c r="F221" s="20" t="s">
        <v>18</v>
      </c>
      <c r="G221" s="20" t="s">
        <v>18</v>
      </c>
      <c r="H221" s="20"/>
      <c r="I221" s="20" t="s">
        <v>18</v>
      </c>
      <c r="J221" s="20"/>
      <c r="K221" s="20" t="s">
        <v>18</v>
      </c>
      <c r="L221" s="20"/>
      <c r="M221" s="19"/>
    </row>
    <row r="222" ht="33" customHeight="1" spans="1:13">
      <c r="A222" s="9" t="s">
        <v>2</v>
      </c>
      <c r="B222" s="9" t="s">
        <v>3</v>
      </c>
      <c r="C222" s="9" t="s">
        <v>4</v>
      </c>
      <c r="D222" s="9" t="s">
        <v>5</v>
      </c>
      <c r="E222" s="9" t="s">
        <v>25</v>
      </c>
      <c r="F222" s="10" t="s">
        <v>7</v>
      </c>
      <c r="G222" s="10" t="s">
        <v>8</v>
      </c>
      <c r="H222" s="10"/>
      <c r="I222" s="10"/>
      <c r="J222" s="10"/>
      <c r="K222" s="10" t="s">
        <v>9</v>
      </c>
      <c r="L222" s="9" t="s">
        <v>10</v>
      </c>
      <c r="M222" s="9" t="s">
        <v>11</v>
      </c>
    </row>
    <row r="223" ht="33" customHeight="1" spans="1:13">
      <c r="A223" s="9"/>
      <c r="B223" s="9"/>
      <c r="C223" s="9"/>
      <c r="D223" s="9"/>
      <c r="E223" s="9"/>
      <c r="F223" s="10"/>
      <c r="G223" s="10" t="s">
        <v>51</v>
      </c>
      <c r="H223" s="10"/>
      <c r="I223" s="10" t="s">
        <v>52</v>
      </c>
      <c r="J223" s="10"/>
      <c r="K223" s="10"/>
      <c r="L223" s="9"/>
      <c r="M223" s="9"/>
    </row>
    <row r="224" ht="33" customHeight="1" spans="1:13">
      <c r="A224" s="15">
        <v>51</v>
      </c>
      <c r="B224" s="16" t="str">
        <f>"陈爱福"</f>
        <v>陈爱福</v>
      </c>
      <c r="C224" s="16" t="str">
        <f>"男"</f>
        <v>男</v>
      </c>
      <c r="D224" s="16" t="s">
        <v>53</v>
      </c>
      <c r="E224" s="20" t="s">
        <v>18</v>
      </c>
      <c r="F224" s="20" t="s">
        <v>18</v>
      </c>
      <c r="G224" s="20" t="s">
        <v>18</v>
      </c>
      <c r="H224" s="20"/>
      <c r="I224" s="20" t="s">
        <v>18</v>
      </c>
      <c r="J224" s="20"/>
      <c r="K224" s="20" t="s">
        <v>18</v>
      </c>
      <c r="L224" s="20"/>
      <c r="M224" s="30"/>
    </row>
    <row r="225" ht="33" customHeight="1" spans="1:13">
      <c r="A225" s="15">
        <v>52</v>
      </c>
      <c r="B225" s="16" t="str">
        <f>"王辉"</f>
        <v>王辉</v>
      </c>
      <c r="C225" s="16" t="str">
        <f>"男"</f>
        <v>男</v>
      </c>
      <c r="D225" s="16" t="s">
        <v>53</v>
      </c>
      <c r="E225" s="20" t="s">
        <v>18</v>
      </c>
      <c r="F225" s="20" t="s">
        <v>18</v>
      </c>
      <c r="G225" s="20" t="s">
        <v>18</v>
      </c>
      <c r="H225" s="20"/>
      <c r="I225" s="20" t="s">
        <v>18</v>
      </c>
      <c r="J225" s="20"/>
      <c r="K225" s="20" t="s">
        <v>18</v>
      </c>
      <c r="L225" s="20"/>
      <c r="M225" s="30"/>
    </row>
    <row r="226" ht="33" customHeight="1" spans="1:13">
      <c r="A226" s="15">
        <v>53</v>
      </c>
      <c r="B226" s="16" t="str">
        <f>"刘琦"</f>
        <v>刘琦</v>
      </c>
      <c r="C226" s="16" t="str">
        <f>"女"</f>
        <v>女</v>
      </c>
      <c r="D226" s="16" t="s">
        <v>53</v>
      </c>
      <c r="E226" s="20" t="s">
        <v>18</v>
      </c>
      <c r="F226" s="20" t="s">
        <v>18</v>
      </c>
      <c r="G226" s="20" t="s">
        <v>18</v>
      </c>
      <c r="H226" s="20"/>
      <c r="I226" s="20" t="s">
        <v>18</v>
      </c>
      <c r="J226" s="20"/>
      <c r="K226" s="20" t="s">
        <v>18</v>
      </c>
      <c r="L226" s="20"/>
      <c r="M226" s="30"/>
    </row>
    <row r="227" ht="33" customHeight="1" spans="1:13">
      <c r="A227" s="15">
        <v>54</v>
      </c>
      <c r="B227" s="16" t="str">
        <f>"唐登峰"</f>
        <v>唐登峰</v>
      </c>
      <c r="C227" s="16" t="str">
        <f>"男"</f>
        <v>男</v>
      </c>
      <c r="D227" s="16" t="s">
        <v>53</v>
      </c>
      <c r="E227" s="20" t="s">
        <v>18</v>
      </c>
      <c r="F227" s="20" t="s">
        <v>18</v>
      </c>
      <c r="G227" s="20" t="s">
        <v>18</v>
      </c>
      <c r="H227" s="20"/>
      <c r="I227" s="20" t="s">
        <v>18</v>
      </c>
      <c r="J227" s="20"/>
      <c r="K227" s="20" t="s">
        <v>18</v>
      </c>
      <c r="L227" s="20"/>
      <c r="M227" s="30"/>
    </row>
    <row r="228" ht="33" customHeight="1" spans="1:13">
      <c r="A228" s="15">
        <v>55</v>
      </c>
      <c r="B228" s="16" t="str">
        <f>"杨州萍"</f>
        <v>杨州萍</v>
      </c>
      <c r="C228" s="16" t="str">
        <f>"女"</f>
        <v>女</v>
      </c>
      <c r="D228" s="16" t="s">
        <v>53</v>
      </c>
      <c r="E228" s="20" t="s">
        <v>18</v>
      </c>
      <c r="F228" s="20" t="s">
        <v>18</v>
      </c>
      <c r="G228" s="20" t="s">
        <v>18</v>
      </c>
      <c r="H228" s="20"/>
      <c r="I228" s="20" t="s">
        <v>18</v>
      </c>
      <c r="J228" s="20"/>
      <c r="K228" s="20" t="s">
        <v>18</v>
      </c>
      <c r="L228" s="20"/>
      <c r="M228" s="30"/>
    </row>
    <row r="229" ht="33" customHeight="1" spans="1:13">
      <c r="A229" s="15">
        <v>56</v>
      </c>
      <c r="B229" s="16" t="str">
        <f>"成明媛"</f>
        <v>成明媛</v>
      </c>
      <c r="C229" s="16" t="str">
        <f>"女"</f>
        <v>女</v>
      </c>
      <c r="D229" s="16" t="s">
        <v>53</v>
      </c>
      <c r="E229" s="20" t="s">
        <v>18</v>
      </c>
      <c r="F229" s="20" t="s">
        <v>18</v>
      </c>
      <c r="G229" s="20" t="s">
        <v>18</v>
      </c>
      <c r="H229" s="20"/>
      <c r="I229" s="20" t="s">
        <v>18</v>
      </c>
      <c r="J229" s="20"/>
      <c r="K229" s="20" t="s">
        <v>18</v>
      </c>
      <c r="L229" s="20"/>
      <c r="M229" s="30"/>
    </row>
    <row r="230" ht="33" customHeight="1" spans="1:13">
      <c r="A230" s="15">
        <v>57</v>
      </c>
      <c r="B230" s="16" t="str">
        <f>"项永成"</f>
        <v>项永成</v>
      </c>
      <c r="C230" s="16" t="str">
        <f>"男"</f>
        <v>男</v>
      </c>
      <c r="D230" s="16" t="s">
        <v>53</v>
      </c>
      <c r="E230" s="20" t="s">
        <v>18</v>
      </c>
      <c r="F230" s="20" t="s">
        <v>18</v>
      </c>
      <c r="G230" s="20" t="s">
        <v>18</v>
      </c>
      <c r="H230" s="20"/>
      <c r="I230" s="20" t="s">
        <v>18</v>
      </c>
      <c r="J230" s="20"/>
      <c r="K230" s="20" t="s">
        <v>18</v>
      </c>
      <c r="L230" s="20"/>
      <c r="M230" s="30"/>
    </row>
    <row r="231" ht="33" customHeight="1" spans="1:13">
      <c r="A231" s="15">
        <v>58</v>
      </c>
      <c r="B231" s="16" t="str">
        <f>"查静"</f>
        <v>查静</v>
      </c>
      <c r="C231" s="16" t="str">
        <f t="shared" ref="C231:C236" si="32">"女"</f>
        <v>女</v>
      </c>
      <c r="D231" s="16" t="s">
        <v>53</v>
      </c>
      <c r="E231" s="20" t="s">
        <v>18</v>
      </c>
      <c r="F231" s="20" t="s">
        <v>18</v>
      </c>
      <c r="G231" s="20" t="s">
        <v>18</v>
      </c>
      <c r="H231" s="20"/>
      <c r="I231" s="20" t="s">
        <v>18</v>
      </c>
      <c r="J231" s="20"/>
      <c r="K231" s="20" t="s">
        <v>18</v>
      </c>
      <c r="L231" s="20"/>
      <c r="M231" s="30"/>
    </row>
    <row r="232" ht="33" customHeight="1" spans="1:13">
      <c r="A232" s="15">
        <v>59</v>
      </c>
      <c r="B232" s="16" t="str">
        <f>"张晶"</f>
        <v>张晶</v>
      </c>
      <c r="C232" s="16" t="str">
        <f t="shared" si="32"/>
        <v>女</v>
      </c>
      <c r="D232" s="16" t="s">
        <v>53</v>
      </c>
      <c r="E232" s="20" t="s">
        <v>18</v>
      </c>
      <c r="F232" s="20" t="s">
        <v>18</v>
      </c>
      <c r="G232" s="20" t="s">
        <v>18</v>
      </c>
      <c r="H232" s="20"/>
      <c r="I232" s="20" t="s">
        <v>18</v>
      </c>
      <c r="J232" s="20"/>
      <c r="K232" s="20" t="s">
        <v>18</v>
      </c>
      <c r="L232" s="20"/>
      <c r="M232" s="30"/>
    </row>
    <row r="233" ht="33" customHeight="1" spans="1:13">
      <c r="A233" s="15">
        <v>60</v>
      </c>
      <c r="B233" s="16" t="str">
        <f>"康玉缘"</f>
        <v>康玉缘</v>
      </c>
      <c r="C233" s="16" t="str">
        <f t="shared" si="32"/>
        <v>女</v>
      </c>
      <c r="D233" s="16" t="s">
        <v>53</v>
      </c>
      <c r="E233" s="20" t="s">
        <v>18</v>
      </c>
      <c r="F233" s="20" t="s">
        <v>18</v>
      </c>
      <c r="G233" s="20" t="s">
        <v>18</v>
      </c>
      <c r="H233" s="20"/>
      <c r="I233" s="20" t="s">
        <v>18</v>
      </c>
      <c r="J233" s="20"/>
      <c r="K233" s="20" t="s">
        <v>18</v>
      </c>
      <c r="L233" s="20"/>
      <c r="M233" s="30"/>
    </row>
    <row r="234" ht="33" customHeight="1" spans="1:13">
      <c r="A234" s="15">
        <v>61</v>
      </c>
      <c r="B234" s="16" t="str">
        <f>"杨鋆"</f>
        <v>杨鋆</v>
      </c>
      <c r="C234" s="16" t="str">
        <f t="shared" si="32"/>
        <v>女</v>
      </c>
      <c r="D234" s="16" t="s">
        <v>53</v>
      </c>
      <c r="E234" s="20" t="s">
        <v>18</v>
      </c>
      <c r="F234" s="20" t="s">
        <v>18</v>
      </c>
      <c r="G234" s="20" t="s">
        <v>18</v>
      </c>
      <c r="H234" s="20"/>
      <c r="I234" s="20" t="s">
        <v>18</v>
      </c>
      <c r="J234" s="20"/>
      <c r="K234" s="20" t="s">
        <v>18</v>
      </c>
      <c r="L234" s="20"/>
      <c r="M234" s="30"/>
    </row>
    <row r="235" ht="33" customHeight="1" spans="1:13">
      <c r="A235" s="15">
        <v>62</v>
      </c>
      <c r="B235" s="16" t="str">
        <f>"吴倩"</f>
        <v>吴倩</v>
      </c>
      <c r="C235" s="16" t="str">
        <f t="shared" si="32"/>
        <v>女</v>
      </c>
      <c r="D235" s="16" t="s">
        <v>53</v>
      </c>
      <c r="E235" s="20" t="s">
        <v>18</v>
      </c>
      <c r="F235" s="20" t="s">
        <v>18</v>
      </c>
      <c r="G235" s="20" t="s">
        <v>18</v>
      </c>
      <c r="H235" s="20"/>
      <c r="I235" s="20" t="s">
        <v>18</v>
      </c>
      <c r="J235" s="20"/>
      <c r="K235" s="20" t="s">
        <v>18</v>
      </c>
      <c r="L235" s="20"/>
      <c r="M235" s="30"/>
    </row>
    <row r="236" ht="33" customHeight="1" spans="1:13">
      <c r="A236" s="15">
        <v>63</v>
      </c>
      <c r="B236" s="16" t="str">
        <f>"米贞洁"</f>
        <v>米贞洁</v>
      </c>
      <c r="C236" s="16" t="str">
        <f t="shared" si="32"/>
        <v>女</v>
      </c>
      <c r="D236" s="16" t="s">
        <v>53</v>
      </c>
      <c r="E236" s="20" t="s">
        <v>18</v>
      </c>
      <c r="F236" s="20" t="s">
        <v>18</v>
      </c>
      <c r="G236" s="20" t="s">
        <v>18</v>
      </c>
      <c r="H236" s="20"/>
      <c r="I236" s="20" t="s">
        <v>18</v>
      </c>
      <c r="J236" s="20"/>
      <c r="K236" s="20" t="s">
        <v>18</v>
      </c>
      <c r="L236" s="20"/>
      <c r="M236" s="30"/>
    </row>
    <row r="237" ht="33" customHeight="1" spans="1:13">
      <c r="A237" s="9" t="s">
        <v>2</v>
      </c>
      <c r="B237" s="9" t="s">
        <v>3</v>
      </c>
      <c r="C237" s="9" t="s">
        <v>4</v>
      </c>
      <c r="D237" s="9" t="s">
        <v>5</v>
      </c>
      <c r="E237" s="9" t="s">
        <v>25</v>
      </c>
      <c r="F237" s="10" t="s">
        <v>7</v>
      </c>
      <c r="G237" s="10" t="s">
        <v>8</v>
      </c>
      <c r="H237" s="10"/>
      <c r="I237" s="10"/>
      <c r="J237" s="10"/>
      <c r="K237" s="10" t="s">
        <v>9</v>
      </c>
      <c r="L237" s="9" t="s">
        <v>10</v>
      </c>
      <c r="M237" s="9" t="s">
        <v>11</v>
      </c>
    </row>
    <row r="238" ht="33" customHeight="1" spans="1:13">
      <c r="A238" s="9"/>
      <c r="B238" s="9"/>
      <c r="C238" s="9"/>
      <c r="D238" s="9"/>
      <c r="E238" s="9"/>
      <c r="F238" s="10"/>
      <c r="G238" s="10" t="s">
        <v>51</v>
      </c>
      <c r="H238" s="10"/>
      <c r="I238" s="10" t="s">
        <v>52</v>
      </c>
      <c r="J238" s="10"/>
      <c r="K238" s="10"/>
      <c r="L238" s="9"/>
      <c r="M238" s="9"/>
    </row>
    <row r="239" ht="33" customHeight="1" spans="1:13">
      <c r="A239" s="15">
        <v>64</v>
      </c>
      <c r="B239" s="16" t="str">
        <f>"兰敏"</f>
        <v>兰敏</v>
      </c>
      <c r="C239" s="16" t="str">
        <f>"女"</f>
        <v>女</v>
      </c>
      <c r="D239" s="16" t="s">
        <v>53</v>
      </c>
      <c r="E239" s="20" t="s">
        <v>18</v>
      </c>
      <c r="F239" s="20" t="s">
        <v>18</v>
      </c>
      <c r="G239" s="20" t="s">
        <v>18</v>
      </c>
      <c r="H239" s="20"/>
      <c r="I239" s="20" t="s">
        <v>18</v>
      </c>
      <c r="J239" s="20"/>
      <c r="K239" s="20" t="s">
        <v>18</v>
      </c>
      <c r="L239" s="20"/>
      <c r="M239" s="30"/>
    </row>
    <row r="240" ht="33" customHeight="1" spans="1:13">
      <c r="A240" s="15">
        <v>65</v>
      </c>
      <c r="B240" s="16" t="str">
        <f>"皮研"</f>
        <v>皮研</v>
      </c>
      <c r="C240" s="16" t="str">
        <f>"女"</f>
        <v>女</v>
      </c>
      <c r="D240" s="16" t="s">
        <v>53</v>
      </c>
      <c r="E240" s="20" t="s">
        <v>18</v>
      </c>
      <c r="F240" s="20" t="s">
        <v>18</v>
      </c>
      <c r="G240" s="20" t="s">
        <v>18</v>
      </c>
      <c r="H240" s="20"/>
      <c r="I240" s="20" t="s">
        <v>18</v>
      </c>
      <c r="J240" s="20"/>
      <c r="K240" s="20" t="s">
        <v>18</v>
      </c>
      <c r="L240" s="20"/>
      <c r="M240" s="30"/>
    </row>
    <row r="241" ht="33" customHeight="1" spans="1:13">
      <c r="A241" s="15">
        <v>66</v>
      </c>
      <c r="B241" s="16" t="str">
        <f>"李佳伟"</f>
        <v>李佳伟</v>
      </c>
      <c r="C241" s="16" t="str">
        <f>"男"</f>
        <v>男</v>
      </c>
      <c r="D241" s="16" t="s">
        <v>53</v>
      </c>
      <c r="E241" s="20" t="s">
        <v>18</v>
      </c>
      <c r="F241" s="20" t="s">
        <v>18</v>
      </c>
      <c r="G241" s="20" t="s">
        <v>18</v>
      </c>
      <c r="H241" s="20"/>
      <c r="I241" s="20" t="s">
        <v>18</v>
      </c>
      <c r="J241" s="20"/>
      <c r="K241" s="20" t="s">
        <v>18</v>
      </c>
      <c r="L241" s="20"/>
      <c r="M241" s="30"/>
    </row>
    <row r="242" ht="33" customHeight="1" spans="1:13">
      <c r="A242" s="15">
        <v>67</v>
      </c>
      <c r="B242" s="16" t="str">
        <f>"陈跃聪"</f>
        <v>陈跃聪</v>
      </c>
      <c r="C242" s="16" t="str">
        <f>"男"</f>
        <v>男</v>
      </c>
      <c r="D242" s="16" t="s">
        <v>53</v>
      </c>
      <c r="E242" s="20" t="s">
        <v>18</v>
      </c>
      <c r="F242" s="20" t="s">
        <v>18</v>
      </c>
      <c r="G242" s="20" t="s">
        <v>18</v>
      </c>
      <c r="H242" s="20"/>
      <c r="I242" s="20" t="s">
        <v>18</v>
      </c>
      <c r="J242" s="20"/>
      <c r="K242" s="20" t="s">
        <v>18</v>
      </c>
      <c r="L242" s="20"/>
      <c r="M242" s="30"/>
    </row>
    <row r="243" ht="33" customHeight="1" spans="1:13">
      <c r="A243" s="15">
        <v>68</v>
      </c>
      <c r="B243" s="16" t="str">
        <f>"刘春红"</f>
        <v>刘春红</v>
      </c>
      <c r="C243" s="16" t="str">
        <f t="shared" ref="C243:C251" si="33">"女"</f>
        <v>女</v>
      </c>
      <c r="D243" s="16" t="s">
        <v>53</v>
      </c>
      <c r="E243" s="20" t="s">
        <v>18</v>
      </c>
      <c r="F243" s="20" t="s">
        <v>18</v>
      </c>
      <c r="G243" s="20" t="s">
        <v>18</v>
      </c>
      <c r="H243" s="20"/>
      <c r="I243" s="20" t="s">
        <v>18</v>
      </c>
      <c r="J243" s="20"/>
      <c r="K243" s="20" t="s">
        <v>18</v>
      </c>
      <c r="L243" s="20"/>
      <c r="M243" s="30"/>
    </row>
    <row r="244" ht="33" customHeight="1" spans="1:13">
      <c r="A244" s="15">
        <v>69</v>
      </c>
      <c r="B244" s="16" t="str">
        <f>"张阳"</f>
        <v>张阳</v>
      </c>
      <c r="C244" s="16" t="str">
        <f t="shared" si="33"/>
        <v>女</v>
      </c>
      <c r="D244" s="16" t="s">
        <v>53</v>
      </c>
      <c r="E244" s="20" t="s">
        <v>18</v>
      </c>
      <c r="F244" s="20" t="s">
        <v>18</v>
      </c>
      <c r="G244" s="20" t="s">
        <v>18</v>
      </c>
      <c r="H244" s="20"/>
      <c r="I244" s="20" t="s">
        <v>18</v>
      </c>
      <c r="J244" s="20"/>
      <c r="K244" s="20" t="s">
        <v>18</v>
      </c>
      <c r="L244" s="20"/>
      <c r="M244" s="30"/>
    </row>
    <row r="245" ht="33" customHeight="1" spans="1:13">
      <c r="A245" s="15">
        <v>70</v>
      </c>
      <c r="B245" s="16" t="str">
        <f>"刘婉芳"</f>
        <v>刘婉芳</v>
      </c>
      <c r="C245" s="16" t="str">
        <f t="shared" si="33"/>
        <v>女</v>
      </c>
      <c r="D245" s="16" t="s">
        <v>53</v>
      </c>
      <c r="E245" s="20" t="s">
        <v>18</v>
      </c>
      <c r="F245" s="20" t="s">
        <v>18</v>
      </c>
      <c r="G245" s="20" t="s">
        <v>18</v>
      </c>
      <c r="H245" s="20"/>
      <c r="I245" s="20" t="s">
        <v>18</v>
      </c>
      <c r="J245" s="20"/>
      <c r="K245" s="20" t="s">
        <v>18</v>
      </c>
      <c r="L245" s="20"/>
      <c r="M245" s="30"/>
    </row>
    <row r="246" ht="33" customHeight="1" spans="1:13">
      <c r="A246" s="15">
        <v>71</v>
      </c>
      <c r="B246" s="16" t="str">
        <f>"何俏文"</f>
        <v>何俏文</v>
      </c>
      <c r="C246" s="16" t="str">
        <f t="shared" si="33"/>
        <v>女</v>
      </c>
      <c r="D246" s="16" t="s">
        <v>53</v>
      </c>
      <c r="E246" s="20" t="s">
        <v>18</v>
      </c>
      <c r="F246" s="20" t="s">
        <v>18</v>
      </c>
      <c r="G246" s="20" t="s">
        <v>18</v>
      </c>
      <c r="H246" s="20"/>
      <c r="I246" s="20" t="s">
        <v>18</v>
      </c>
      <c r="J246" s="20"/>
      <c r="K246" s="20" t="s">
        <v>18</v>
      </c>
      <c r="L246" s="20"/>
      <c r="M246" s="30"/>
    </row>
    <row r="247" ht="33" customHeight="1" spans="1:13">
      <c r="A247" s="15">
        <v>72</v>
      </c>
      <c r="B247" s="16" t="str">
        <f>"蔡腾芳"</f>
        <v>蔡腾芳</v>
      </c>
      <c r="C247" s="16" t="str">
        <f t="shared" si="33"/>
        <v>女</v>
      </c>
      <c r="D247" s="16" t="s">
        <v>53</v>
      </c>
      <c r="E247" s="20" t="s">
        <v>18</v>
      </c>
      <c r="F247" s="20" t="s">
        <v>18</v>
      </c>
      <c r="G247" s="20" t="s">
        <v>18</v>
      </c>
      <c r="H247" s="20"/>
      <c r="I247" s="20" t="s">
        <v>18</v>
      </c>
      <c r="J247" s="20"/>
      <c r="K247" s="20" t="s">
        <v>18</v>
      </c>
      <c r="L247" s="20"/>
      <c r="M247" s="30"/>
    </row>
    <row r="248" ht="33" customHeight="1" spans="1:13">
      <c r="A248" s="15">
        <v>73</v>
      </c>
      <c r="B248" s="16" t="str">
        <f>"聂琪瑶"</f>
        <v>聂琪瑶</v>
      </c>
      <c r="C248" s="16" t="str">
        <f t="shared" si="33"/>
        <v>女</v>
      </c>
      <c r="D248" s="16" t="s">
        <v>53</v>
      </c>
      <c r="E248" s="20" t="s">
        <v>18</v>
      </c>
      <c r="F248" s="20" t="s">
        <v>18</v>
      </c>
      <c r="G248" s="20" t="s">
        <v>18</v>
      </c>
      <c r="H248" s="20"/>
      <c r="I248" s="20" t="s">
        <v>18</v>
      </c>
      <c r="J248" s="20"/>
      <c r="K248" s="20" t="s">
        <v>18</v>
      </c>
      <c r="L248" s="20"/>
      <c r="M248" s="30"/>
    </row>
    <row r="249" ht="33" customHeight="1" spans="1:13">
      <c r="A249" s="15">
        <v>74</v>
      </c>
      <c r="B249" s="16" t="str">
        <f>"谢慧婷"</f>
        <v>谢慧婷</v>
      </c>
      <c r="C249" s="16" t="str">
        <f t="shared" si="33"/>
        <v>女</v>
      </c>
      <c r="D249" s="16" t="s">
        <v>53</v>
      </c>
      <c r="E249" s="20" t="s">
        <v>18</v>
      </c>
      <c r="F249" s="20" t="s">
        <v>18</v>
      </c>
      <c r="G249" s="20" t="s">
        <v>18</v>
      </c>
      <c r="H249" s="20"/>
      <c r="I249" s="20" t="s">
        <v>18</v>
      </c>
      <c r="J249" s="20"/>
      <c r="K249" s="20" t="s">
        <v>18</v>
      </c>
      <c r="L249" s="20"/>
      <c r="M249" s="30"/>
    </row>
    <row r="250" ht="33" customHeight="1" spans="1:13">
      <c r="A250" s="15">
        <v>75</v>
      </c>
      <c r="B250" s="16" t="str">
        <f>"谢冠群"</f>
        <v>谢冠群</v>
      </c>
      <c r="C250" s="16" t="str">
        <f t="shared" si="33"/>
        <v>女</v>
      </c>
      <c r="D250" s="16" t="s">
        <v>53</v>
      </c>
      <c r="E250" s="20" t="s">
        <v>18</v>
      </c>
      <c r="F250" s="20" t="s">
        <v>18</v>
      </c>
      <c r="G250" s="20" t="s">
        <v>18</v>
      </c>
      <c r="H250" s="20"/>
      <c r="I250" s="20" t="s">
        <v>18</v>
      </c>
      <c r="J250" s="20"/>
      <c r="K250" s="20" t="s">
        <v>18</v>
      </c>
      <c r="L250" s="20"/>
      <c r="M250" s="30"/>
    </row>
    <row r="251" ht="33" customHeight="1" spans="1:13">
      <c r="A251" s="15">
        <v>76</v>
      </c>
      <c r="B251" s="16" t="str">
        <f>"成紫依"</f>
        <v>成紫依</v>
      </c>
      <c r="C251" s="16" t="str">
        <f t="shared" si="33"/>
        <v>女</v>
      </c>
      <c r="D251" s="16" t="s">
        <v>53</v>
      </c>
      <c r="E251" s="20" t="s">
        <v>18</v>
      </c>
      <c r="F251" s="20" t="s">
        <v>18</v>
      </c>
      <c r="G251" s="20" t="s">
        <v>18</v>
      </c>
      <c r="H251" s="20"/>
      <c r="I251" s="20" t="s">
        <v>18</v>
      </c>
      <c r="J251" s="20"/>
      <c r="K251" s="20" t="s">
        <v>18</v>
      </c>
      <c r="L251" s="20"/>
      <c r="M251" s="30"/>
    </row>
    <row r="252" ht="33" customHeight="1" spans="1:13">
      <c r="A252" s="9" t="s">
        <v>2</v>
      </c>
      <c r="B252" s="9" t="s">
        <v>3</v>
      </c>
      <c r="C252" s="9" t="s">
        <v>4</v>
      </c>
      <c r="D252" s="9" t="s">
        <v>5</v>
      </c>
      <c r="E252" s="9" t="s">
        <v>25</v>
      </c>
      <c r="F252" s="10" t="s">
        <v>7</v>
      </c>
      <c r="G252" s="10" t="s">
        <v>8</v>
      </c>
      <c r="H252" s="10"/>
      <c r="I252" s="10"/>
      <c r="J252" s="10"/>
      <c r="K252" s="10" t="s">
        <v>9</v>
      </c>
      <c r="L252" s="9" t="s">
        <v>10</v>
      </c>
      <c r="M252" s="9" t="s">
        <v>11</v>
      </c>
    </row>
    <row r="253" ht="33" customHeight="1" spans="1:13">
      <c r="A253" s="9"/>
      <c r="B253" s="9"/>
      <c r="C253" s="9"/>
      <c r="D253" s="9"/>
      <c r="E253" s="9"/>
      <c r="F253" s="10"/>
      <c r="G253" s="10" t="s">
        <v>51</v>
      </c>
      <c r="H253" s="10"/>
      <c r="I253" s="10" t="s">
        <v>52</v>
      </c>
      <c r="J253" s="10"/>
      <c r="K253" s="10"/>
      <c r="L253" s="9"/>
      <c r="M253" s="9"/>
    </row>
    <row r="254" ht="33" customHeight="1" spans="1:13">
      <c r="A254" s="15">
        <v>77</v>
      </c>
      <c r="B254" s="16" t="str">
        <f>"徐文静"</f>
        <v>徐文静</v>
      </c>
      <c r="C254" s="16" t="str">
        <f>"女"</f>
        <v>女</v>
      </c>
      <c r="D254" s="16" t="s">
        <v>53</v>
      </c>
      <c r="E254" s="20" t="s">
        <v>18</v>
      </c>
      <c r="F254" s="20" t="s">
        <v>18</v>
      </c>
      <c r="G254" s="20" t="s">
        <v>18</v>
      </c>
      <c r="H254" s="20"/>
      <c r="I254" s="20" t="s">
        <v>18</v>
      </c>
      <c r="J254" s="20"/>
      <c r="K254" s="20" t="s">
        <v>18</v>
      </c>
      <c r="L254" s="20"/>
      <c r="M254" s="30"/>
    </row>
    <row r="255" ht="33" customHeight="1" spans="1:13">
      <c r="A255" s="15">
        <v>78</v>
      </c>
      <c r="B255" s="16" t="str">
        <f>"罗石榴"</f>
        <v>罗石榴</v>
      </c>
      <c r="C255" s="16" t="str">
        <f>"女"</f>
        <v>女</v>
      </c>
      <c r="D255" s="16" t="s">
        <v>53</v>
      </c>
      <c r="E255" s="20" t="s">
        <v>18</v>
      </c>
      <c r="F255" s="20" t="s">
        <v>18</v>
      </c>
      <c r="G255" s="20" t="s">
        <v>18</v>
      </c>
      <c r="H255" s="20"/>
      <c r="I255" s="20" t="s">
        <v>18</v>
      </c>
      <c r="J255" s="20"/>
      <c r="K255" s="20" t="s">
        <v>18</v>
      </c>
      <c r="L255" s="20"/>
      <c r="M255" s="30"/>
    </row>
    <row r="256" ht="33" customHeight="1" spans="1:13">
      <c r="A256" s="15">
        <v>79</v>
      </c>
      <c r="B256" s="16" t="str">
        <f>"杨和坚"</f>
        <v>杨和坚</v>
      </c>
      <c r="C256" s="16" t="str">
        <f>"女"</f>
        <v>女</v>
      </c>
      <c r="D256" s="16" t="s">
        <v>53</v>
      </c>
      <c r="E256" s="20" t="s">
        <v>18</v>
      </c>
      <c r="F256" s="20" t="s">
        <v>18</v>
      </c>
      <c r="G256" s="20" t="s">
        <v>18</v>
      </c>
      <c r="H256" s="20"/>
      <c r="I256" s="20" t="s">
        <v>18</v>
      </c>
      <c r="J256" s="20"/>
      <c r="K256" s="20" t="s">
        <v>18</v>
      </c>
      <c r="L256" s="20"/>
      <c r="M256" s="30"/>
    </row>
    <row r="257" ht="29" customHeight="1" spans="1:13">
      <c r="A257" s="7" t="s">
        <v>55</v>
      </c>
      <c r="B257" s="7"/>
      <c r="C257" s="7"/>
      <c r="D257" s="7"/>
      <c r="E257" s="8"/>
      <c r="F257" s="8"/>
      <c r="G257" s="8"/>
      <c r="H257" s="8"/>
      <c r="I257" s="8"/>
      <c r="J257" s="8"/>
      <c r="K257" s="8"/>
      <c r="L257" s="8"/>
      <c r="M257" s="8"/>
    </row>
    <row r="258" ht="27" customHeight="1" spans="1:13">
      <c r="A258" s="9" t="s">
        <v>2</v>
      </c>
      <c r="B258" s="9" t="s">
        <v>3</v>
      </c>
      <c r="C258" s="9" t="s">
        <v>4</v>
      </c>
      <c r="D258" s="9" t="s">
        <v>5</v>
      </c>
      <c r="E258" s="9" t="s">
        <v>25</v>
      </c>
      <c r="F258" s="31" t="s">
        <v>56</v>
      </c>
      <c r="G258" s="10" t="s">
        <v>8</v>
      </c>
      <c r="H258" s="10"/>
      <c r="I258" s="10"/>
      <c r="J258" s="10"/>
      <c r="K258" s="10" t="s">
        <v>9</v>
      </c>
      <c r="L258" s="9" t="s">
        <v>10</v>
      </c>
      <c r="M258" s="10" t="s">
        <v>11</v>
      </c>
    </row>
    <row r="259" ht="31" customHeight="1" spans="1:13">
      <c r="A259" s="9"/>
      <c r="B259" s="9"/>
      <c r="C259" s="9"/>
      <c r="D259" s="9"/>
      <c r="E259" s="9"/>
      <c r="F259" s="31"/>
      <c r="G259" s="10" t="s">
        <v>57</v>
      </c>
      <c r="H259" s="10"/>
      <c r="I259" s="10" t="s">
        <v>58</v>
      </c>
      <c r="J259" s="10"/>
      <c r="K259" s="10"/>
      <c r="L259" s="9"/>
      <c r="M259" s="10"/>
    </row>
    <row r="260" ht="31" customHeight="1" spans="1:13">
      <c r="A260" s="15">
        <v>1</v>
      </c>
      <c r="B260" s="16" t="str">
        <f>"李颖仲"</f>
        <v>李颖仲</v>
      </c>
      <c r="C260" s="16" t="str">
        <f>"男"</f>
        <v>男</v>
      </c>
      <c r="D260" s="32" t="s">
        <v>59</v>
      </c>
      <c r="E260" s="18">
        <v>87.2</v>
      </c>
      <c r="F260" s="18">
        <f>E260*0.4</f>
        <v>34.88</v>
      </c>
      <c r="G260" s="19">
        <v>88</v>
      </c>
      <c r="H260" s="19"/>
      <c r="I260" s="19">
        <f>G260*0.6</f>
        <v>52.8</v>
      </c>
      <c r="J260" s="19"/>
      <c r="K260" s="19">
        <f>F260+I260</f>
        <v>87.68</v>
      </c>
      <c r="L260" s="22">
        <v>1</v>
      </c>
      <c r="M260" s="19"/>
    </row>
    <row r="261" ht="31" customHeight="1" spans="1:13">
      <c r="A261" s="15">
        <v>2</v>
      </c>
      <c r="B261" s="16" t="str">
        <f>"李露丝"</f>
        <v>李露丝</v>
      </c>
      <c r="C261" s="16" t="str">
        <f>"女"</f>
        <v>女</v>
      </c>
      <c r="D261" s="32" t="s">
        <v>59</v>
      </c>
      <c r="E261" s="18">
        <v>76.16</v>
      </c>
      <c r="F261" s="18">
        <f>E261*0.4</f>
        <v>30.464</v>
      </c>
      <c r="G261" s="19">
        <v>85</v>
      </c>
      <c r="H261" s="19"/>
      <c r="I261" s="19">
        <f>G261*0.6</f>
        <v>51</v>
      </c>
      <c r="J261" s="19"/>
      <c r="K261" s="19">
        <f>F261+I261</f>
        <v>81.464</v>
      </c>
      <c r="L261" s="22">
        <v>2</v>
      </c>
      <c r="M261" s="19"/>
    </row>
    <row r="262" ht="31" customHeight="1" spans="1:13">
      <c r="A262" s="15">
        <v>3</v>
      </c>
      <c r="B262" s="16" t="str">
        <f>"曾华"</f>
        <v>曾华</v>
      </c>
      <c r="C262" s="16" t="str">
        <f>"男"</f>
        <v>男</v>
      </c>
      <c r="D262" s="32" t="s">
        <v>59</v>
      </c>
      <c r="E262" s="18">
        <v>70</v>
      </c>
      <c r="F262" s="18">
        <f>E262*0.4</f>
        <v>28</v>
      </c>
      <c r="G262" s="19">
        <v>74</v>
      </c>
      <c r="H262" s="19"/>
      <c r="I262" s="19">
        <f>G262*0.6</f>
        <v>44.4</v>
      </c>
      <c r="J262" s="19"/>
      <c r="K262" s="19">
        <f>F262+I262</f>
        <v>72.4</v>
      </c>
      <c r="L262" s="22">
        <v>3</v>
      </c>
      <c r="M262" s="19"/>
    </row>
    <row r="263" ht="31" customHeight="1" spans="1:13">
      <c r="A263" s="15">
        <v>4</v>
      </c>
      <c r="B263" s="16" t="str">
        <f>"李泽培"</f>
        <v>李泽培</v>
      </c>
      <c r="C263" s="16" t="str">
        <f>"男"</f>
        <v>男</v>
      </c>
      <c r="D263" s="32" t="s">
        <v>59</v>
      </c>
      <c r="E263" s="18">
        <v>84.32</v>
      </c>
      <c r="F263" s="18">
        <f>E263*0.4</f>
        <v>33.728</v>
      </c>
      <c r="G263" s="19">
        <v>53.5</v>
      </c>
      <c r="H263" s="19"/>
      <c r="I263" s="19">
        <f>G263*0.6</f>
        <v>32.1</v>
      </c>
      <c r="J263" s="19"/>
      <c r="K263" s="19">
        <f>F263+I263</f>
        <v>65.828</v>
      </c>
      <c r="L263" s="22">
        <v>4</v>
      </c>
      <c r="M263" s="19"/>
    </row>
    <row r="264" ht="31" customHeight="1" spans="1:13">
      <c r="A264" s="15">
        <v>5</v>
      </c>
      <c r="B264" s="16" t="str">
        <f>"曾亮"</f>
        <v>曾亮</v>
      </c>
      <c r="C264" s="16" t="str">
        <f>"男"</f>
        <v>男</v>
      </c>
      <c r="D264" s="32" t="s">
        <v>59</v>
      </c>
      <c r="E264" s="18">
        <v>68.9</v>
      </c>
      <c r="F264" s="18">
        <f>E264*0.4</f>
        <v>27.56</v>
      </c>
      <c r="G264" s="19" t="s">
        <v>18</v>
      </c>
      <c r="H264" s="19"/>
      <c r="I264" s="19" t="s">
        <v>18</v>
      </c>
      <c r="J264" s="19"/>
      <c r="K264" s="19">
        <f>F264</f>
        <v>27.56</v>
      </c>
      <c r="L264" s="22">
        <v>5</v>
      </c>
      <c r="M264" s="19"/>
    </row>
    <row r="265" ht="31" customHeight="1" spans="1:13">
      <c r="A265" s="15">
        <v>6</v>
      </c>
      <c r="B265" s="16" t="str">
        <f>"向旭"</f>
        <v>向旭</v>
      </c>
      <c r="C265" s="16" t="str">
        <f>"男"</f>
        <v>男</v>
      </c>
      <c r="D265" s="32" t="s">
        <v>59</v>
      </c>
      <c r="E265" s="18">
        <v>64.3</v>
      </c>
      <c r="F265" s="18">
        <f>E265*0.4</f>
        <v>25.72</v>
      </c>
      <c r="G265" s="19" t="s">
        <v>18</v>
      </c>
      <c r="H265" s="19"/>
      <c r="I265" s="19" t="s">
        <v>18</v>
      </c>
      <c r="J265" s="19"/>
      <c r="K265" s="19">
        <f>F265</f>
        <v>25.72</v>
      </c>
      <c r="L265" s="22">
        <v>6</v>
      </c>
      <c r="M265" s="19"/>
    </row>
    <row r="266" ht="31" customHeight="1" spans="1:13">
      <c r="A266" s="15">
        <v>7</v>
      </c>
      <c r="B266" s="16" t="str">
        <f>"金志阳"</f>
        <v>金志阳</v>
      </c>
      <c r="C266" s="16" t="str">
        <f>"男"</f>
        <v>男</v>
      </c>
      <c r="D266" s="32" t="s">
        <v>59</v>
      </c>
      <c r="E266" s="20" t="s">
        <v>18</v>
      </c>
      <c r="F266" s="20" t="s">
        <v>18</v>
      </c>
      <c r="G266" s="20" t="s">
        <v>18</v>
      </c>
      <c r="H266" s="20"/>
      <c r="I266" s="20" t="s">
        <v>18</v>
      </c>
      <c r="J266" s="20"/>
      <c r="K266" s="20" t="s">
        <v>18</v>
      </c>
      <c r="L266" s="33"/>
      <c r="M266" s="19"/>
    </row>
    <row r="267" ht="31" customHeight="1" spans="1:13">
      <c r="A267" s="15">
        <v>8</v>
      </c>
      <c r="B267" s="16" t="str">
        <f>"曾宇"</f>
        <v>曾宇</v>
      </c>
      <c r="C267" s="16" t="str">
        <f>"男"</f>
        <v>男</v>
      </c>
      <c r="D267" s="32" t="s">
        <v>59</v>
      </c>
      <c r="E267" s="20" t="s">
        <v>18</v>
      </c>
      <c r="F267" s="20" t="s">
        <v>18</v>
      </c>
      <c r="G267" s="20" t="s">
        <v>18</v>
      </c>
      <c r="H267" s="20"/>
      <c r="I267" s="20" t="s">
        <v>18</v>
      </c>
      <c r="J267" s="20"/>
      <c r="K267" s="20" t="s">
        <v>18</v>
      </c>
      <c r="L267" s="33"/>
      <c r="M267" s="19"/>
    </row>
    <row r="268" ht="31" customHeight="1" spans="1:13">
      <c r="A268" s="15">
        <v>9</v>
      </c>
      <c r="B268" s="16" t="str">
        <f>"潘琪"</f>
        <v>潘琪</v>
      </c>
      <c r="C268" s="16" t="str">
        <f>"男"</f>
        <v>男</v>
      </c>
      <c r="D268" s="32" t="s">
        <v>60</v>
      </c>
      <c r="E268" s="19" t="s">
        <v>20</v>
      </c>
      <c r="F268" s="19">
        <v>0</v>
      </c>
      <c r="G268" s="19">
        <v>75.67</v>
      </c>
      <c r="H268" s="19"/>
      <c r="I268" s="19">
        <f>G268*0.6</f>
        <v>45.402</v>
      </c>
      <c r="J268" s="19"/>
      <c r="K268" s="19">
        <f>F268+I268</f>
        <v>45.402</v>
      </c>
      <c r="L268" s="22">
        <v>1</v>
      </c>
      <c r="M268" s="19"/>
    </row>
    <row r="269" ht="31" customHeight="1" spans="1:13">
      <c r="A269" s="15">
        <v>10</v>
      </c>
      <c r="B269" s="16" t="str">
        <f>"陈伟"</f>
        <v>陈伟</v>
      </c>
      <c r="C269" s="16" t="str">
        <f>"男"</f>
        <v>男</v>
      </c>
      <c r="D269" s="32" t="s">
        <v>60</v>
      </c>
      <c r="E269" s="18">
        <v>76.2</v>
      </c>
      <c r="F269" s="18">
        <f>E269*0.4</f>
        <v>30.48</v>
      </c>
      <c r="G269" s="19">
        <v>22</v>
      </c>
      <c r="H269" s="19"/>
      <c r="I269" s="19">
        <f>G269*0.6</f>
        <v>13.2</v>
      </c>
      <c r="J269" s="19"/>
      <c r="K269" s="19">
        <f>F269+I269</f>
        <v>43.68</v>
      </c>
      <c r="L269" s="22">
        <v>2</v>
      </c>
      <c r="M269" s="19"/>
    </row>
    <row r="270" ht="31" customHeight="1" spans="1:13">
      <c r="A270" s="15">
        <v>11</v>
      </c>
      <c r="B270" s="16" t="str">
        <f>"周玉成"</f>
        <v>周玉成</v>
      </c>
      <c r="C270" s="16" t="str">
        <f>"男"</f>
        <v>男</v>
      </c>
      <c r="D270" s="32" t="s">
        <v>60</v>
      </c>
      <c r="E270" s="20" t="s">
        <v>18</v>
      </c>
      <c r="F270" s="20" t="s">
        <v>18</v>
      </c>
      <c r="G270" s="20" t="s">
        <v>18</v>
      </c>
      <c r="H270" s="20"/>
      <c r="I270" s="20" t="s">
        <v>18</v>
      </c>
      <c r="J270" s="20"/>
      <c r="K270" s="20" t="s">
        <v>18</v>
      </c>
      <c r="L270" s="33"/>
      <c r="M270" s="20"/>
    </row>
    <row r="271" ht="31" customHeight="1" spans="1:13">
      <c r="A271" s="15">
        <v>12</v>
      </c>
      <c r="B271" s="16" t="str">
        <f>"凌俊"</f>
        <v>凌俊</v>
      </c>
      <c r="C271" s="16" t="str">
        <f>"男"</f>
        <v>男</v>
      </c>
      <c r="D271" s="32" t="s">
        <v>60</v>
      </c>
      <c r="E271" s="20" t="s">
        <v>18</v>
      </c>
      <c r="F271" s="20" t="s">
        <v>18</v>
      </c>
      <c r="G271" s="20" t="s">
        <v>18</v>
      </c>
      <c r="H271" s="20"/>
      <c r="I271" s="20" t="s">
        <v>18</v>
      </c>
      <c r="J271" s="20"/>
      <c r="K271" s="20" t="s">
        <v>18</v>
      </c>
      <c r="L271" s="33"/>
      <c r="M271" s="20"/>
    </row>
    <row r="272" ht="31" customHeight="1" spans="1:13">
      <c r="A272" s="15">
        <v>13</v>
      </c>
      <c r="B272" s="16" t="str">
        <f>"蔡美文"</f>
        <v>蔡美文</v>
      </c>
      <c r="C272" s="16" t="str">
        <f>"男"</f>
        <v>男</v>
      </c>
      <c r="D272" s="32" t="s">
        <v>60</v>
      </c>
      <c r="E272" s="20" t="s">
        <v>18</v>
      </c>
      <c r="F272" s="20" t="s">
        <v>18</v>
      </c>
      <c r="G272" s="20" t="s">
        <v>18</v>
      </c>
      <c r="H272" s="20"/>
      <c r="I272" s="20" t="s">
        <v>18</v>
      </c>
      <c r="J272" s="20"/>
      <c r="K272" s="20" t="s">
        <v>18</v>
      </c>
      <c r="L272" s="33"/>
      <c r="M272" s="20"/>
    </row>
    <row r="273" ht="31" customHeight="1" spans="1:13">
      <c r="A273" s="15">
        <v>14</v>
      </c>
      <c r="B273" s="16" t="str">
        <f>"周博臻"</f>
        <v>周博臻</v>
      </c>
      <c r="C273" s="16" t="str">
        <f>"男"</f>
        <v>男</v>
      </c>
      <c r="D273" s="32" t="s">
        <v>60</v>
      </c>
      <c r="E273" s="20" t="s">
        <v>18</v>
      </c>
      <c r="F273" s="20" t="s">
        <v>18</v>
      </c>
      <c r="G273" s="20" t="s">
        <v>18</v>
      </c>
      <c r="H273" s="20"/>
      <c r="I273" s="20" t="s">
        <v>18</v>
      </c>
      <c r="J273" s="20"/>
      <c r="K273" s="20" t="s">
        <v>18</v>
      </c>
      <c r="L273" s="33"/>
      <c r="M273" s="20"/>
    </row>
  </sheetData>
  <sortState ref="B235:K242">
    <sortCondition ref="K235:K242" descending="1"/>
  </sortState>
  <mergeCells count="541">
    <mergeCell ref="A3:M3"/>
    <mergeCell ref="G4:J4"/>
    <mergeCell ref="G19:J19"/>
    <mergeCell ref="G37:J37"/>
    <mergeCell ref="G55:J55"/>
    <mergeCell ref="G73:J73"/>
    <mergeCell ref="A80:M80"/>
    <mergeCell ref="G81:J81"/>
    <mergeCell ref="G82:H82"/>
    <mergeCell ref="I82:J82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90:H90"/>
    <mergeCell ref="I90:J90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J97"/>
    <mergeCell ref="G98:H98"/>
    <mergeCell ref="I98:J98"/>
    <mergeCell ref="G99:H99"/>
    <mergeCell ref="I99:J99"/>
    <mergeCell ref="G100:H100"/>
    <mergeCell ref="I100:J100"/>
    <mergeCell ref="G101:H101"/>
    <mergeCell ref="I101:J101"/>
    <mergeCell ref="G102:H102"/>
    <mergeCell ref="I102:J102"/>
    <mergeCell ref="G103:H103"/>
    <mergeCell ref="I103:J103"/>
    <mergeCell ref="G104:H104"/>
    <mergeCell ref="I104:J104"/>
    <mergeCell ref="G105:H105"/>
    <mergeCell ref="I105:J105"/>
    <mergeCell ref="G106:H106"/>
    <mergeCell ref="I106:J106"/>
    <mergeCell ref="G107:H107"/>
    <mergeCell ref="I107:J107"/>
    <mergeCell ref="G108:H108"/>
    <mergeCell ref="I108:J108"/>
    <mergeCell ref="G109:H109"/>
    <mergeCell ref="I109:J109"/>
    <mergeCell ref="G110:H110"/>
    <mergeCell ref="I110:J110"/>
    <mergeCell ref="G111:H111"/>
    <mergeCell ref="I111:J111"/>
    <mergeCell ref="G112:H112"/>
    <mergeCell ref="I112:J112"/>
    <mergeCell ref="G113:H113"/>
    <mergeCell ref="I113:J113"/>
    <mergeCell ref="G114:J114"/>
    <mergeCell ref="G115:H115"/>
    <mergeCell ref="I115:J115"/>
    <mergeCell ref="G116:H116"/>
    <mergeCell ref="I116:J116"/>
    <mergeCell ref="G117:H117"/>
    <mergeCell ref="I117:J117"/>
    <mergeCell ref="G118:H118"/>
    <mergeCell ref="I118:J118"/>
    <mergeCell ref="G119:H119"/>
    <mergeCell ref="I119:J119"/>
    <mergeCell ref="G120:H120"/>
    <mergeCell ref="I120:J120"/>
    <mergeCell ref="G121:H121"/>
    <mergeCell ref="I121:J121"/>
    <mergeCell ref="G122:H122"/>
    <mergeCell ref="I122:J122"/>
    <mergeCell ref="G123:H123"/>
    <mergeCell ref="I123:J123"/>
    <mergeCell ref="G124:H124"/>
    <mergeCell ref="I124:J124"/>
    <mergeCell ref="G125:H125"/>
    <mergeCell ref="I125:J125"/>
    <mergeCell ref="G126:H126"/>
    <mergeCell ref="I126:J126"/>
    <mergeCell ref="G127:H127"/>
    <mergeCell ref="I127:J127"/>
    <mergeCell ref="G128:H128"/>
    <mergeCell ref="I128:J128"/>
    <mergeCell ref="G129:H129"/>
    <mergeCell ref="I129:J129"/>
    <mergeCell ref="G130:H130"/>
    <mergeCell ref="I130:J130"/>
    <mergeCell ref="G131:J131"/>
    <mergeCell ref="G132:H132"/>
    <mergeCell ref="I132:J132"/>
    <mergeCell ref="G133:H133"/>
    <mergeCell ref="I133:J133"/>
    <mergeCell ref="G134:H134"/>
    <mergeCell ref="I134:J134"/>
    <mergeCell ref="G135:H135"/>
    <mergeCell ref="I135:J135"/>
    <mergeCell ref="G136:H136"/>
    <mergeCell ref="I136:J136"/>
    <mergeCell ref="G137:H137"/>
    <mergeCell ref="I137:J137"/>
    <mergeCell ref="G138:H138"/>
    <mergeCell ref="I138:J138"/>
    <mergeCell ref="G139:H139"/>
    <mergeCell ref="I139:J139"/>
    <mergeCell ref="G140:H140"/>
    <mergeCell ref="I140:J140"/>
    <mergeCell ref="G141:H141"/>
    <mergeCell ref="I141:J141"/>
    <mergeCell ref="G142:H142"/>
    <mergeCell ref="I142:J142"/>
    <mergeCell ref="G143:H143"/>
    <mergeCell ref="I143:J143"/>
    <mergeCell ref="G144:H144"/>
    <mergeCell ref="I144:J144"/>
    <mergeCell ref="G145:H145"/>
    <mergeCell ref="I145:J145"/>
    <mergeCell ref="G146:H146"/>
    <mergeCell ref="I146:J146"/>
    <mergeCell ref="G147:H147"/>
    <mergeCell ref="I147:J147"/>
    <mergeCell ref="G148:J148"/>
    <mergeCell ref="G149:H149"/>
    <mergeCell ref="I149:J149"/>
    <mergeCell ref="G150:H150"/>
    <mergeCell ref="I150:J150"/>
    <mergeCell ref="G151:H151"/>
    <mergeCell ref="I151:J151"/>
    <mergeCell ref="G152:H152"/>
    <mergeCell ref="I152:J152"/>
    <mergeCell ref="G153:H153"/>
    <mergeCell ref="I153:J153"/>
    <mergeCell ref="G154:H154"/>
    <mergeCell ref="I154:J154"/>
    <mergeCell ref="G155:H155"/>
    <mergeCell ref="I155:J155"/>
    <mergeCell ref="G156:H156"/>
    <mergeCell ref="I156:J156"/>
    <mergeCell ref="G157:H157"/>
    <mergeCell ref="I157:J157"/>
    <mergeCell ref="G158:H158"/>
    <mergeCell ref="I158:J158"/>
    <mergeCell ref="G159:H159"/>
    <mergeCell ref="I159:J159"/>
    <mergeCell ref="G160:H160"/>
    <mergeCell ref="I160:J160"/>
    <mergeCell ref="G161:H161"/>
    <mergeCell ref="I161:J161"/>
    <mergeCell ref="G162:H162"/>
    <mergeCell ref="I162:J162"/>
    <mergeCell ref="A163:M163"/>
    <mergeCell ref="G164:J164"/>
    <mergeCell ref="G165:H165"/>
    <mergeCell ref="I165:J165"/>
    <mergeCell ref="G166:H166"/>
    <mergeCell ref="I166:J166"/>
    <mergeCell ref="G167:H167"/>
    <mergeCell ref="I167:J167"/>
    <mergeCell ref="G168:H168"/>
    <mergeCell ref="I168:J168"/>
    <mergeCell ref="G169:H169"/>
    <mergeCell ref="I169:J169"/>
    <mergeCell ref="G170:H170"/>
    <mergeCell ref="I170:J170"/>
    <mergeCell ref="G171:H171"/>
    <mergeCell ref="I171:J171"/>
    <mergeCell ref="G172:H172"/>
    <mergeCell ref="I172:J172"/>
    <mergeCell ref="G173:H173"/>
    <mergeCell ref="I173:J173"/>
    <mergeCell ref="G174:H174"/>
    <mergeCell ref="I174:J174"/>
    <mergeCell ref="G175:H175"/>
    <mergeCell ref="I175:J175"/>
    <mergeCell ref="G176:H176"/>
    <mergeCell ref="I176:J176"/>
    <mergeCell ref="G177:H177"/>
    <mergeCell ref="I177:J177"/>
    <mergeCell ref="G178:H178"/>
    <mergeCell ref="I178:J178"/>
    <mergeCell ref="G179:J179"/>
    <mergeCell ref="G180:H180"/>
    <mergeCell ref="I180:J180"/>
    <mergeCell ref="G181:H181"/>
    <mergeCell ref="I181:J181"/>
    <mergeCell ref="G182:H182"/>
    <mergeCell ref="I182:J182"/>
    <mergeCell ref="G183:H183"/>
    <mergeCell ref="I183:J183"/>
    <mergeCell ref="G184:H184"/>
    <mergeCell ref="I184:J184"/>
    <mergeCell ref="G185:H185"/>
    <mergeCell ref="I185:J185"/>
    <mergeCell ref="G186:H186"/>
    <mergeCell ref="I186:J186"/>
    <mergeCell ref="G187:H187"/>
    <mergeCell ref="I187:J187"/>
    <mergeCell ref="G188:H188"/>
    <mergeCell ref="I188:J188"/>
    <mergeCell ref="G189:H189"/>
    <mergeCell ref="I189:J189"/>
    <mergeCell ref="G190:H190"/>
    <mergeCell ref="I190:J190"/>
    <mergeCell ref="G191:H191"/>
    <mergeCell ref="I191:J191"/>
    <mergeCell ref="G192:H192"/>
    <mergeCell ref="I192:J192"/>
    <mergeCell ref="G193:H193"/>
    <mergeCell ref="I193:J193"/>
    <mergeCell ref="G194:J194"/>
    <mergeCell ref="G195:H195"/>
    <mergeCell ref="I195:J195"/>
    <mergeCell ref="G196:H196"/>
    <mergeCell ref="I196:J196"/>
    <mergeCell ref="G197:H197"/>
    <mergeCell ref="I197:J197"/>
    <mergeCell ref="G198:H198"/>
    <mergeCell ref="I198:J198"/>
    <mergeCell ref="G199:H199"/>
    <mergeCell ref="I199:J199"/>
    <mergeCell ref="G200:H200"/>
    <mergeCell ref="I200:J200"/>
    <mergeCell ref="G201:H201"/>
    <mergeCell ref="I201:J201"/>
    <mergeCell ref="G202:H202"/>
    <mergeCell ref="I202:J202"/>
    <mergeCell ref="G203:H203"/>
    <mergeCell ref="I203:J203"/>
    <mergeCell ref="G204:H204"/>
    <mergeCell ref="I204:J204"/>
    <mergeCell ref="G205:H205"/>
    <mergeCell ref="I205:J205"/>
    <mergeCell ref="G206:H206"/>
    <mergeCell ref="I206:J206"/>
    <mergeCell ref="G207:H207"/>
    <mergeCell ref="I207:J207"/>
    <mergeCell ref="G208:H208"/>
    <mergeCell ref="I208:J208"/>
    <mergeCell ref="G209:J209"/>
    <mergeCell ref="G210:H210"/>
    <mergeCell ref="I210:J210"/>
    <mergeCell ref="G211:H211"/>
    <mergeCell ref="I211:J211"/>
    <mergeCell ref="G212:H212"/>
    <mergeCell ref="I212:J212"/>
    <mergeCell ref="G213:H213"/>
    <mergeCell ref="I213:J213"/>
    <mergeCell ref="G214:H214"/>
    <mergeCell ref="I214:J214"/>
    <mergeCell ref="G215:H215"/>
    <mergeCell ref="I215:J215"/>
    <mergeCell ref="G216:H216"/>
    <mergeCell ref="I216:J216"/>
    <mergeCell ref="G217:H217"/>
    <mergeCell ref="I217:J217"/>
    <mergeCell ref="G218:H218"/>
    <mergeCell ref="I218:J218"/>
    <mergeCell ref="G219:H219"/>
    <mergeCell ref="I219:J219"/>
    <mergeCell ref="G220:H220"/>
    <mergeCell ref="I220:J220"/>
    <mergeCell ref="G221:H221"/>
    <mergeCell ref="I221:J221"/>
    <mergeCell ref="G222:J222"/>
    <mergeCell ref="G223:H223"/>
    <mergeCell ref="I223:J223"/>
    <mergeCell ref="G224:H224"/>
    <mergeCell ref="I224:J224"/>
    <mergeCell ref="G225:H225"/>
    <mergeCell ref="I225:J225"/>
    <mergeCell ref="G226:H226"/>
    <mergeCell ref="I226:J226"/>
    <mergeCell ref="G227:H227"/>
    <mergeCell ref="I227:J227"/>
    <mergeCell ref="G228:H228"/>
    <mergeCell ref="I228:J228"/>
    <mergeCell ref="G229:H229"/>
    <mergeCell ref="I229:J229"/>
    <mergeCell ref="G230:H230"/>
    <mergeCell ref="I230:J230"/>
    <mergeCell ref="G231:H231"/>
    <mergeCell ref="I231:J231"/>
    <mergeCell ref="G232:H232"/>
    <mergeCell ref="I232:J232"/>
    <mergeCell ref="G233:H233"/>
    <mergeCell ref="I233:J233"/>
    <mergeCell ref="G234:H234"/>
    <mergeCell ref="I234:J234"/>
    <mergeCell ref="G235:H235"/>
    <mergeCell ref="I235:J235"/>
    <mergeCell ref="G236:H236"/>
    <mergeCell ref="I236:J236"/>
    <mergeCell ref="G237:J237"/>
    <mergeCell ref="G238:H238"/>
    <mergeCell ref="I238:J238"/>
    <mergeCell ref="G239:H239"/>
    <mergeCell ref="I239:J239"/>
    <mergeCell ref="G240:H240"/>
    <mergeCell ref="I240:J240"/>
    <mergeCell ref="G241:H241"/>
    <mergeCell ref="I241:J241"/>
    <mergeCell ref="G242:H242"/>
    <mergeCell ref="I242:J242"/>
    <mergeCell ref="G243:H243"/>
    <mergeCell ref="I243:J243"/>
    <mergeCell ref="G244:H244"/>
    <mergeCell ref="I244:J244"/>
    <mergeCell ref="G245:H245"/>
    <mergeCell ref="I245:J245"/>
    <mergeCell ref="G246:H246"/>
    <mergeCell ref="I246:J246"/>
    <mergeCell ref="G247:H247"/>
    <mergeCell ref="I247:J247"/>
    <mergeCell ref="G248:H248"/>
    <mergeCell ref="I248:J248"/>
    <mergeCell ref="G249:H249"/>
    <mergeCell ref="I249:J249"/>
    <mergeCell ref="G250:H250"/>
    <mergeCell ref="I250:J250"/>
    <mergeCell ref="G251:H251"/>
    <mergeCell ref="I251:J251"/>
    <mergeCell ref="G252:J252"/>
    <mergeCell ref="G253:H253"/>
    <mergeCell ref="I253:J253"/>
    <mergeCell ref="G254:H254"/>
    <mergeCell ref="I254:J254"/>
    <mergeCell ref="G255:H255"/>
    <mergeCell ref="I255:J255"/>
    <mergeCell ref="G256:H256"/>
    <mergeCell ref="I256:J256"/>
    <mergeCell ref="A257:M257"/>
    <mergeCell ref="G258:J258"/>
    <mergeCell ref="G259:H259"/>
    <mergeCell ref="I259:J259"/>
    <mergeCell ref="G260:H260"/>
    <mergeCell ref="I260:J260"/>
    <mergeCell ref="G261:H261"/>
    <mergeCell ref="I261:J261"/>
    <mergeCell ref="G262:H262"/>
    <mergeCell ref="I262:J262"/>
    <mergeCell ref="G263:H263"/>
    <mergeCell ref="I263:J263"/>
    <mergeCell ref="G264:H264"/>
    <mergeCell ref="I264:J264"/>
    <mergeCell ref="G265:H265"/>
    <mergeCell ref="I265:J265"/>
    <mergeCell ref="G266:H266"/>
    <mergeCell ref="I266:J266"/>
    <mergeCell ref="G267:H267"/>
    <mergeCell ref="I267:J267"/>
    <mergeCell ref="G268:H268"/>
    <mergeCell ref="I268:J268"/>
    <mergeCell ref="G269:H269"/>
    <mergeCell ref="I269:J269"/>
    <mergeCell ref="G270:H270"/>
    <mergeCell ref="I270:J270"/>
    <mergeCell ref="G271:H271"/>
    <mergeCell ref="I271:J271"/>
    <mergeCell ref="G272:H272"/>
    <mergeCell ref="I272:J272"/>
    <mergeCell ref="G273:H273"/>
    <mergeCell ref="I273:J273"/>
    <mergeCell ref="A4:A5"/>
    <mergeCell ref="A19:A20"/>
    <mergeCell ref="A37:A38"/>
    <mergeCell ref="A55:A56"/>
    <mergeCell ref="A73:A74"/>
    <mergeCell ref="A81:A82"/>
    <mergeCell ref="A97:A98"/>
    <mergeCell ref="A114:A115"/>
    <mergeCell ref="A131:A132"/>
    <mergeCell ref="A148:A149"/>
    <mergeCell ref="A164:A165"/>
    <mergeCell ref="A179:A180"/>
    <mergeCell ref="A194:A195"/>
    <mergeCell ref="A209:A210"/>
    <mergeCell ref="A222:A223"/>
    <mergeCell ref="A237:A238"/>
    <mergeCell ref="A252:A253"/>
    <mergeCell ref="A258:A259"/>
    <mergeCell ref="B4:B5"/>
    <mergeCell ref="B19:B20"/>
    <mergeCell ref="B37:B38"/>
    <mergeCell ref="B55:B56"/>
    <mergeCell ref="B73:B74"/>
    <mergeCell ref="B81:B82"/>
    <mergeCell ref="B97:B98"/>
    <mergeCell ref="B114:B115"/>
    <mergeCell ref="B131:B132"/>
    <mergeCell ref="B148:B149"/>
    <mergeCell ref="B164:B165"/>
    <mergeCell ref="B179:B180"/>
    <mergeCell ref="B194:B195"/>
    <mergeCell ref="B209:B210"/>
    <mergeCell ref="B222:B223"/>
    <mergeCell ref="B237:B238"/>
    <mergeCell ref="B252:B253"/>
    <mergeCell ref="B258:B259"/>
    <mergeCell ref="C4:C5"/>
    <mergeCell ref="C19:C20"/>
    <mergeCell ref="C37:C38"/>
    <mergeCell ref="C55:C56"/>
    <mergeCell ref="C73:C74"/>
    <mergeCell ref="C81:C82"/>
    <mergeCell ref="C97:C98"/>
    <mergeCell ref="C114:C115"/>
    <mergeCell ref="C131:C132"/>
    <mergeCell ref="C148:C149"/>
    <mergeCell ref="C164:C165"/>
    <mergeCell ref="C179:C180"/>
    <mergeCell ref="C194:C195"/>
    <mergeCell ref="C209:C210"/>
    <mergeCell ref="C222:C223"/>
    <mergeCell ref="C237:C238"/>
    <mergeCell ref="C252:C253"/>
    <mergeCell ref="C258:C259"/>
    <mergeCell ref="D4:D5"/>
    <mergeCell ref="D19:D20"/>
    <mergeCell ref="D37:D38"/>
    <mergeCell ref="D55:D56"/>
    <mergeCell ref="D73:D74"/>
    <mergeCell ref="D81:D82"/>
    <mergeCell ref="D97:D98"/>
    <mergeCell ref="D114:D115"/>
    <mergeCell ref="D131:D132"/>
    <mergeCell ref="D148:D149"/>
    <mergeCell ref="D164:D165"/>
    <mergeCell ref="D179:D180"/>
    <mergeCell ref="D194:D195"/>
    <mergeCell ref="D209:D210"/>
    <mergeCell ref="D222:D223"/>
    <mergeCell ref="D237:D238"/>
    <mergeCell ref="D252:D253"/>
    <mergeCell ref="D258:D259"/>
    <mergeCell ref="E4:E5"/>
    <mergeCell ref="E19:E20"/>
    <mergeCell ref="E37:E38"/>
    <mergeCell ref="E55:E56"/>
    <mergeCell ref="E73:E74"/>
    <mergeCell ref="E81:E82"/>
    <mergeCell ref="E97:E98"/>
    <mergeCell ref="E114:E115"/>
    <mergeCell ref="E131:E132"/>
    <mergeCell ref="E148:E149"/>
    <mergeCell ref="E164:E165"/>
    <mergeCell ref="E179:E180"/>
    <mergeCell ref="E194:E195"/>
    <mergeCell ref="E209:E210"/>
    <mergeCell ref="E222:E223"/>
    <mergeCell ref="E237:E238"/>
    <mergeCell ref="E252:E253"/>
    <mergeCell ref="E258:E259"/>
    <mergeCell ref="F4:F5"/>
    <mergeCell ref="F19:F20"/>
    <mergeCell ref="F37:F38"/>
    <mergeCell ref="F55:F56"/>
    <mergeCell ref="F73:F74"/>
    <mergeCell ref="F81:F82"/>
    <mergeCell ref="F97:F98"/>
    <mergeCell ref="F114:F115"/>
    <mergeCell ref="F131:F132"/>
    <mergeCell ref="F148:F149"/>
    <mergeCell ref="F164:F165"/>
    <mergeCell ref="F179:F180"/>
    <mergeCell ref="F194:F195"/>
    <mergeCell ref="F209:F210"/>
    <mergeCell ref="F222:F223"/>
    <mergeCell ref="F237:F238"/>
    <mergeCell ref="F252:F253"/>
    <mergeCell ref="F258:F259"/>
    <mergeCell ref="K4:K5"/>
    <mergeCell ref="K19:K20"/>
    <mergeCell ref="K37:K38"/>
    <mergeCell ref="K55:K56"/>
    <mergeCell ref="K73:K74"/>
    <mergeCell ref="K81:K82"/>
    <mergeCell ref="K97:K98"/>
    <mergeCell ref="K114:K115"/>
    <mergeCell ref="K131:K132"/>
    <mergeCell ref="K148:K149"/>
    <mergeCell ref="K164:K165"/>
    <mergeCell ref="K179:K180"/>
    <mergeCell ref="K194:K195"/>
    <mergeCell ref="K209:K210"/>
    <mergeCell ref="K222:K223"/>
    <mergeCell ref="K237:K238"/>
    <mergeCell ref="K252:K253"/>
    <mergeCell ref="K258:K259"/>
    <mergeCell ref="L4:L5"/>
    <mergeCell ref="L19:L20"/>
    <mergeCell ref="L37:L38"/>
    <mergeCell ref="L55:L56"/>
    <mergeCell ref="L73:L74"/>
    <mergeCell ref="L81:L82"/>
    <mergeCell ref="L97:L98"/>
    <mergeCell ref="L114:L115"/>
    <mergeCell ref="L131:L132"/>
    <mergeCell ref="L148:L149"/>
    <mergeCell ref="L164:L165"/>
    <mergeCell ref="L179:L180"/>
    <mergeCell ref="L194:L195"/>
    <mergeCell ref="L209:L210"/>
    <mergeCell ref="L222:L223"/>
    <mergeCell ref="L237:L238"/>
    <mergeCell ref="L252:L253"/>
    <mergeCell ref="L258:L259"/>
    <mergeCell ref="M4:M5"/>
    <mergeCell ref="M19:M20"/>
    <mergeCell ref="M37:M38"/>
    <mergeCell ref="M55:M56"/>
    <mergeCell ref="M73:M74"/>
    <mergeCell ref="M81:M82"/>
    <mergeCell ref="M97:M98"/>
    <mergeCell ref="M114:M115"/>
    <mergeCell ref="M131:M132"/>
    <mergeCell ref="M148:M149"/>
    <mergeCell ref="M164:M165"/>
    <mergeCell ref="M179:M180"/>
    <mergeCell ref="M194:M195"/>
    <mergeCell ref="M209:M210"/>
    <mergeCell ref="M222:M223"/>
    <mergeCell ref="M237:M238"/>
    <mergeCell ref="M252:M253"/>
    <mergeCell ref="M258:M259"/>
    <mergeCell ref="A1:M2"/>
  </mergeCells>
  <pageMargins left="0.747916666666667" right="0.432638888888889" top="0.590277777777778" bottom="0.590277777777778" header="0.432638888888889" footer="0.511805555555556"/>
  <pageSetup paperSize="9" orientation="landscape" horizontalDpi="600"/>
  <headerFooter>
    <oddFooter>&amp;C第 &amp;P 页，共 &amp;N 页</oddFooter>
  </headerFooter>
  <rowBreaks count="4" manualBreakCount="4">
    <brk id="79" max="12" man="1"/>
    <brk id="162" max="12" man="1"/>
    <brk id="221" max="16383" man="1"/>
    <brk id="2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体育岗位面试名单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2018-07-02T12:24:00Z</dcterms:created>
  <cp:lastPrinted>2018-07-07T03:22:00Z</cp:lastPrinted>
  <dcterms:modified xsi:type="dcterms:W3CDTF">2019-06-24T07:48:03Z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